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l\Desktop\data share\112年評鑑\"/>
    </mc:Choice>
  </mc:AlternateContent>
  <bookViews>
    <workbookView xWindow="0" yWindow="0" windowWidth="24000" windowHeight="9690"/>
  </bookViews>
  <sheets>
    <sheet name="總表" sheetId="7" r:id="rId1"/>
    <sheet name="醫人" sheetId="3" r:id="rId2"/>
    <sheet name="醫倫" sheetId="1" r:id="rId3"/>
    <sheet name="醫法" sheetId="2" r:id="rId4"/>
    <sheet name="品管" sheetId="4" r:id="rId5"/>
    <sheet name="病人教育" sheetId="5" r:id="rId6"/>
  </sheets>
  <externalReferences>
    <externalReference r:id="rId7"/>
  </externalReferences>
  <definedNames>
    <definedName name="_xlnm._FilterDatabase" localSheetId="5" hidden="1">病人教育!$A$1:$H$566</definedName>
    <definedName name="_xlnm._FilterDatabase" localSheetId="2" hidden="1">醫倫!$A$1:$E$165</definedName>
    <definedName name="books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7" l="1"/>
  <c r="F4" i="7"/>
  <c r="D4" i="7"/>
  <c r="C4" i="7"/>
  <c r="B4" i="7"/>
  <c r="A315" i="5" l="1"/>
  <c r="B315" i="5"/>
  <c r="C315" i="5"/>
  <c r="D315" i="5"/>
  <c r="E315" i="5"/>
  <c r="F315" i="5"/>
  <c r="G315" i="5"/>
  <c r="H315" i="5"/>
  <c r="A316" i="5"/>
  <c r="B316" i="5"/>
  <c r="C316" i="5"/>
  <c r="D316" i="5"/>
  <c r="E316" i="5"/>
  <c r="F316" i="5"/>
  <c r="G316" i="5"/>
  <c r="H316" i="5"/>
  <c r="A317" i="5"/>
  <c r="B317" i="5"/>
  <c r="C317" i="5"/>
  <c r="D317" i="5"/>
  <c r="E317" i="5"/>
  <c r="F317" i="5"/>
  <c r="G317" i="5"/>
  <c r="A318" i="5"/>
  <c r="B318" i="5"/>
  <c r="C318" i="5"/>
  <c r="D318" i="5"/>
  <c r="E318" i="5"/>
  <c r="F318" i="5"/>
  <c r="G318" i="5"/>
  <c r="I45" i="1" l="1"/>
  <c r="H45" i="1"/>
  <c r="G45" i="1"/>
  <c r="F45" i="1"/>
  <c r="E45" i="1"/>
  <c r="D45" i="1"/>
  <c r="C45" i="1"/>
  <c r="B45" i="1"/>
  <c r="A45" i="1"/>
  <c r="I69" i="1"/>
  <c r="H69" i="1"/>
  <c r="G69" i="1"/>
  <c r="F69" i="1"/>
  <c r="E69" i="1"/>
  <c r="D69" i="1"/>
  <c r="C69" i="1"/>
  <c r="B69" i="1"/>
  <c r="A69" i="1"/>
  <c r="I93" i="1"/>
  <c r="H93" i="1"/>
  <c r="G93" i="1"/>
  <c r="F93" i="1"/>
  <c r="E93" i="1"/>
  <c r="D93" i="1"/>
  <c r="C93" i="1"/>
  <c r="B93" i="1"/>
  <c r="A93" i="1"/>
  <c r="I70" i="1"/>
  <c r="H70" i="1"/>
  <c r="G70" i="1"/>
  <c r="F70" i="1"/>
  <c r="E70" i="1"/>
  <c r="D70" i="1"/>
  <c r="C70" i="1"/>
  <c r="B70" i="1"/>
  <c r="A70" i="1"/>
  <c r="I106" i="1"/>
  <c r="H106" i="1"/>
  <c r="G106" i="1"/>
  <c r="F106" i="1"/>
  <c r="E106" i="1"/>
  <c r="D106" i="1"/>
  <c r="C106" i="1"/>
  <c r="B106" i="1"/>
  <c r="A106" i="1"/>
  <c r="I100" i="1"/>
  <c r="H100" i="1"/>
  <c r="G100" i="1"/>
  <c r="F100" i="1"/>
  <c r="E100" i="1"/>
  <c r="D100" i="1"/>
  <c r="C100" i="1"/>
  <c r="B100" i="1"/>
  <c r="A100" i="1"/>
  <c r="I41" i="1"/>
  <c r="H41" i="1"/>
  <c r="G41" i="1"/>
  <c r="F41" i="1"/>
  <c r="E41" i="1"/>
  <c r="D41" i="1"/>
  <c r="C41" i="1"/>
  <c r="B41" i="1"/>
  <c r="A41" i="1"/>
  <c r="I75" i="1"/>
  <c r="H75" i="1"/>
  <c r="G75" i="1"/>
  <c r="F75" i="1"/>
  <c r="E75" i="1"/>
  <c r="D75" i="1"/>
  <c r="C75" i="1"/>
  <c r="B75" i="1"/>
  <c r="A75" i="1"/>
  <c r="I74" i="1"/>
  <c r="H74" i="1"/>
  <c r="G74" i="1"/>
  <c r="F74" i="1"/>
  <c r="E74" i="1"/>
  <c r="D74" i="1"/>
  <c r="C74" i="1"/>
  <c r="B74" i="1"/>
  <c r="A74" i="1"/>
  <c r="I88" i="1"/>
  <c r="H88" i="1"/>
  <c r="G88" i="1"/>
  <c r="F88" i="1"/>
  <c r="E88" i="1"/>
  <c r="D88" i="1"/>
  <c r="C88" i="1"/>
  <c r="B88" i="1"/>
  <c r="A88" i="1"/>
  <c r="I13" i="1"/>
  <c r="H13" i="1"/>
  <c r="G13" i="1"/>
  <c r="F13" i="1"/>
  <c r="E13" i="1"/>
  <c r="D13" i="1"/>
  <c r="C13" i="1"/>
  <c r="B13" i="1"/>
  <c r="A13" i="1"/>
  <c r="I31" i="1"/>
  <c r="H31" i="1"/>
  <c r="G31" i="1"/>
  <c r="F31" i="1"/>
  <c r="E31" i="1"/>
  <c r="D31" i="1"/>
  <c r="C31" i="1"/>
  <c r="B31" i="1"/>
  <c r="A31" i="1"/>
  <c r="I10" i="1"/>
  <c r="H10" i="1"/>
  <c r="G10" i="1"/>
  <c r="F10" i="1"/>
  <c r="E10" i="1"/>
  <c r="D10" i="1"/>
  <c r="C10" i="1"/>
  <c r="B10" i="1"/>
  <c r="A10" i="1"/>
  <c r="I85" i="1"/>
  <c r="H85" i="1"/>
  <c r="G85" i="1"/>
  <c r="F85" i="1"/>
  <c r="E85" i="1"/>
  <c r="D85" i="1"/>
  <c r="C85" i="1"/>
  <c r="B85" i="1"/>
  <c r="A85" i="1"/>
  <c r="I29" i="1"/>
  <c r="H29" i="1"/>
  <c r="G29" i="1"/>
  <c r="F29" i="1"/>
  <c r="E29" i="1"/>
  <c r="D29" i="1"/>
  <c r="C29" i="1"/>
  <c r="B29" i="1"/>
  <c r="A29" i="1"/>
  <c r="H58" i="1"/>
  <c r="G58" i="1"/>
  <c r="F58" i="1"/>
  <c r="E58" i="1"/>
  <c r="D58" i="1"/>
  <c r="C58" i="1"/>
  <c r="B58" i="1"/>
  <c r="A58" i="1"/>
  <c r="H33" i="1"/>
  <c r="G33" i="1"/>
  <c r="F33" i="1"/>
  <c r="E33" i="1"/>
  <c r="D33" i="1"/>
  <c r="C33" i="1"/>
  <c r="B33" i="1"/>
  <c r="A33" i="1"/>
  <c r="I73" i="1"/>
  <c r="H73" i="1"/>
  <c r="G73" i="1"/>
  <c r="F73" i="1"/>
  <c r="E73" i="1"/>
  <c r="D73" i="1"/>
  <c r="C73" i="1"/>
  <c r="B73" i="1"/>
  <c r="A73" i="1"/>
  <c r="I111" i="1"/>
  <c r="H111" i="1"/>
  <c r="G111" i="1"/>
  <c r="F111" i="1"/>
  <c r="E111" i="1"/>
  <c r="D111" i="1"/>
  <c r="C111" i="1"/>
  <c r="B111" i="1"/>
  <c r="A111" i="1"/>
  <c r="I80" i="1"/>
  <c r="H80" i="1"/>
  <c r="G80" i="1"/>
  <c r="F80" i="1"/>
  <c r="E80" i="1"/>
  <c r="D80" i="1"/>
  <c r="C80" i="1"/>
  <c r="B80" i="1"/>
  <c r="A80" i="1"/>
  <c r="I53" i="1"/>
  <c r="H53" i="1"/>
  <c r="G53" i="1"/>
  <c r="F53" i="1"/>
  <c r="E53" i="1"/>
  <c r="D53" i="1"/>
  <c r="C53" i="1"/>
  <c r="B53" i="1"/>
  <c r="A53" i="1"/>
  <c r="I59" i="1"/>
  <c r="H59" i="1"/>
  <c r="G59" i="1"/>
  <c r="F59" i="1"/>
  <c r="E59" i="1"/>
  <c r="D59" i="1"/>
  <c r="C59" i="1"/>
  <c r="B59" i="1"/>
  <c r="A59" i="1"/>
  <c r="I84" i="1"/>
  <c r="H84" i="1"/>
  <c r="G84" i="1"/>
  <c r="F84" i="1"/>
  <c r="E84" i="1"/>
  <c r="D84" i="1"/>
  <c r="C84" i="1"/>
  <c r="B84" i="1"/>
  <c r="A84" i="1"/>
  <c r="I92" i="1"/>
  <c r="H92" i="1"/>
  <c r="G92" i="1"/>
  <c r="F92" i="1"/>
  <c r="E92" i="1"/>
  <c r="D92" i="1"/>
  <c r="C92" i="1"/>
  <c r="B92" i="1"/>
  <c r="A92" i="1"/>
  <c r="I82" i="1"/>
  <c r="H82" i="1"/>
  <c r="G82" i="1"/>
  <c r="F82" i="1"/>
  <c r="E82" i="1"/>
  <c r="D82" i="1"/>
  <c r="C82" i="1"/>
  <c r="B82" i="1"/>
  <c r="A82" i="1"/>
  <c r="I44" i="1"/>
  <c r="H44" i="1"/>
  <c r="G44" i="1"/>
  <c r="F44" i="1"/>
  <c r="E44" i="1"/>
  <c r="D44" i="1"/>
  <c r="C44" i="1"/>
  <c r="B44" i="1"/>
  <c r="A44" i="1"/>
  <c r="I102" i="1"/>
  <c r="H102" i="1"/>
  <c r="G102" i="1"/>
  <c r="F102" i="1"/>
  <c r="E102" i="1"/>
  <c r="D102" i="1"/>
  <c r="C102" i="1"/>
  <c r="B102" i="1"/>
  <c r="A102" i="1"/>
  <c r="I77" i="1"/>
  <c r="H77" i="1"/>
  <c r="G77" i="1"/>
  <c r="F77" i="1"/>
  <c r="E77" i="1"/>
  <c r="D77" i="1"/>
  <c r="C77" i="1"/>
  <c r="B77" i="1"/>
  <c r="A77" i="1"/>
  <c r="I105" i="1"/>
  <c r="H105" i="1"/>
  <c r="G105" i="1"/>
  <c r="F105" i="1"/>
  <c r="E105" i="1"/>
  <c r="D105" i="1"/>
  <c r="C105" i="1"/>
  <c r="B105" i="1"/>
  <c r="A105" i="1"/>
  <c r="I90" i="1"/>
  <c r="H90" i="1"/>
  <c r="G90" i="1"/>
  <c r="F90" i="1"/>
  <c r="E90" i="1"/>
  <c r="D90" i="1"/>
  <c r="C90" i="1"/>
  <c r="B90" i="1"/>
  <c r="A90" i="1"/>
  <c r="I99" i="1"/>
  <c r="H99" i="1"/>
  <c r="G99" i="1"/>
  <c r="F99" i="1"/>
  <c r="E99" i="1"/>
  <c r="D99" i="1"/>
  <c r="C99" i="1"/>
  <c r="B99" i="1"/>
  <c r="A99" i="1"/>
  <c r="I56" i="1"/>
  <c r="H56" i="1"/>
  <c r="G56" i="1"/>
  <c r="F56" i="1"/>
  <c r="E56" i="1"/>
  <c r="D56" i="1"/>
  <c r="C56" i="1"/>
  <c r="B56" i="1"/>
  <c r="A56" i="1"/>
  <c r="I81" i="1"/>
  <c r="H81" i="1"/>
  <c r="G81" i="1"/>
  <c r="F81" i="1"/>
  <c r="E81" i="1"/>
  <c r="D81" i="1"/>
  <c r="C81" i="1"/>
  <c r="B81" i="1"/>
  <c r="A81" i="1"/>
  <c r="I68" i="1"/>
  <c r="H68" i="1"/>
  <c r="G68" i="1"/>
  <c r="F68" i="1"/>
  <c r="E68" i="1"/>
  <c r="D68" i="1"/>
  <c r="C68" i="1"/>
  <c r="B68" i="1"/>
  <c r="A68" i="1"/>
  <c r="I62" i="1"/>
  <c r="H62" i="1"/>
  <c r="G62" i="1"/>
  <c r="F62" i="1"/>
  <c r="E62" i="1"/>
  <c r="D62" i="1"/>
  <c r="C62" i="1"/>
  <c r="B62" i="1"/>
  <c r="A62" i="1"/>
  <c r="H14" i="1"/>
  <c r="G14" i="1"/>
  <c r="F14" i="1"/>
  <c r="E14" i="1"/>
  <c r="D14" i="1"/>
  <c r="C14" i="1"/>
  <c r="B14" i="1"/>
  <c r="A14" i="1"/>
  <c r="I83" i="1"/>
  <c r="H83" i="1"/>
  <c r="G83" i="1"/>
  <c r="F83" i="1"/>
  <c r="E83" i="1"/>
  <c r="D83" i="1"/>
  <c r="C83" i="1"/>
  <c r="B83" i="1"/>
  <c r="A83" i="1"/>
  <c r="H87" i="1"/>
  <c r="G87" i="1"/>
  <c r="F87" i="1"/>
  <c r="E87" i="1"/>
  <c r="D87" i="1"/>
  <c r="C87" i="1"/>
  <c r="B87" i="1"/>
  <c r="A87" i="1"/>
  <c r="H5" i="1"/>
  <c r="G5" i="1"/>
  <c r="F5" i="1"/>
  <c r="E5" i="1"/>
  <c r="D5" i="1"/>
  <c r="C5" i="1"/>
  <c r="B5" i="1"/>
  <c r="A5" i="1"/>
  <c r="H57" i="1"/>
  <c r="G57" i="1"/>
  <c r="F57" i="1"/>
  <c r="E57" i="1"/>
  <c r="D57" i="1"/>
  <c r="C57" i="1"/>
  <c r="B57" i="1"/>
  <c r="A57" i="1"/>
  <c r="I46" i="1"/>
  <c r="H46" i="1"/>
  <c r="G46" i="1"/>
  <c r="F46" i="1"/>
  <c r="E46" i="1"/>
  <c r="D46" i="1"/>
  <c r="C46" i="1"/>
  <c r="B46" i="1"/>
  <c r="A46" i="1"/>
  <c r="I66" i="1"/>
  <c r="H66" i="1"/>
  <c r="G66" i="1"/>
  <c r="F66" i="1"/>
  <c r="E66" i="1"/>
  <c r="D66" i="1"/>
  <c r="C66" i="1"/>
  <c r="B66" i="1"/>
  <c r="A66" i="1"/>
  <c r="H39" i="1"/>
  <c r="G39" i="1"/>
  <c r="F39" i="1"/>
  <c r="E39" i="1"/>
  <c r="D39" i="1"/>
  <c r="C39" i="1"/>
  <c r="B39" i="1"/>
  <c r="A39" i="1"/>
  <c r="H28" i="1"/>
  <c r="G28" i="1"/>
  <c r="F28" i="1"/>
  <c r="E28" i="1"/>
  <c r="D28" i="1"/>
  <c r="C28" i="1"/>
  <c r="B28" i="1"/>
  <c r="A28" i="1"/>
  <c r="I7" i="1"/>
  <c r="H7" i="1"/>
  <c r="G7" i="1"/>
  <c r="F7" i="1"/>
  <c r="E7" i="1"/>
  <c r="D7" i="1"/>
  <c r="C7" i="1"/>
  <c r="B7" i="1"/>
  <c r="A7" i="1"/>
  <c r="H52" i="1"/>
  <c r="G52" i="1"/>
  <c r="F52" i="1"/>
  <c r="E52" i="1"/>
  <c r="D52" i="1"/>
  <c r="C52" i="1"/>
  <c r="B52" i="1"/>
  <c r="A52" i="1"/>
  <c r="H18" i="1"/>
  <c r="G18" i="1"/>
  <c r="F18" i="1"/>
  <c r="E18" i="1"/>
  <c r="D18" i="1"/>
  <c r="C18" i="1"/>
  <c r="B18" i="1"/>
  <c r="A18" i="1"/>
  <c r="H30" i="1"/>
  <c r="G30" i="1"/>
  <c r="F30" i="1"/>
  <c r="E30" i="1"/>
  <c r="D30" i="1"/>
  <c r="C30" i="1"/>
  <c r="B30" i="1"/>
  <c r="A30" i="1"/>
  <c r="H25" i="1"/>
  <c r="G25" i="1"/>
  <c r="F25" i="1"/>
  <c r="E25" i="1"/>
  <c r="D25" i="1"/>
  <c r="C25" i="1"/>
  <c r="B25" i="1"/>
  <c r="A25" i="1"/>
  <c r="I67" i="1"/>
  <c r="H67" i="1"/>
  <c r="G67" i="1"/>
  <c r="F67" i="1"/>
  <c r="E67" i="1"/>
  <c r="D67" i="1"/>
  <c r="C67" i="1"/>
  <c r="B67" i="1"/>
  <c r="A67" i="1"/>
  <c r="I140" i="1"/>
  <c r="H140" i="1"/>
  <c r="G140" i="1"/>
  <c r="F140" i="1"/>
  <c r="E140" i="1"/>
  <c r="D140" i="1"/>
  <c r="C140" i="1"/>
  <c r="B140" i="1"/>
  <c r="A140" i="1"/>
  <c r="I35" i="1"/>
  <c r="H35" i="1"/>
  <c r="G35" i="1"/>
  <c r="F35" i="1"/>
  <c r="E35" i="1"/>
  <c r="D35" i="1"/>
  <c r="C35" i="1"/>
  <c r="B35" i="1"/>
  <c r="A35" i="1"/>
  <c r="I120" i="1"/>
  <c r="H120" i="1"/>
  <c r="G120" i="1"/>
  <c r="F120" i="1"/>
  <c r="E120" i="1"/>
  <c r="D120" i="1"/>
  <c r="C120" i="1"/>
  <c r="B120" i="1"/>
  <c r="A120" i="1"/>
  <c r="I117" i="1"/>
  <c r="H117" i="1"/>
  <c r="G117" i="1"/>
  <c r="F117" i="1"/>
  <c r="E117" i="1"/>
  <c r="D117" i="1"/>
  <c r="C117" i="1"/>
  <c r="B117" i="1"/>
  <c r="A117" i="1"/>
  <c r="I146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I109" i="1"/>
  <c r="H109" i="1"/>
  <c r="G109" i="1"/>
  <c r="F109" i="1"/>
  <c r="E109" i="1"/>
  <c r="D109" i="1"/>
  <c r="C109" i="1"/>
  <c r="B109" i="1"/>
  <c r="A109" i="1"/>
  <c r="I24" i="1"/>
  <c r="H24" i="1"/>
  <c r="G24" i="1"/>
  <c r="F24" i="1"/>
  <c r="E24" i="1"/>
  <c r="D24" i="1"/>
  <c r="C24" i="1"/>
  <c r="B24" i="1"/>
  <c r="A24" i="1"/>
  <c r="H17" i="1"/>
  <c r="G17" i="1"/>
  <c r="F17" i="1"/>
  <c r="E17" i="1"/>
  <c r="D17" i="1"/>
  <c r="C17" i="1"/>
  <c r="B17" i="1"/>
  <c r="A17" i="1"/>
  <c r="H138" i="1"/>
  <c r="G138" i="1"/>
  <c r="F138" i="1"/>
  <c r="E138" i="1"/>
  <c r="D138" i="1"/>
  <c r="C138" i="1"/>
  <c r="B138" i="1"/>
  <c r="A138" i="1"/>
  <c r="H115" i="1"/>
  <c r="G115" i="1"/>
  <c r="F115" i="1"/>
  <c r="E115" i="1"/>
  <c r="D115" i="1"/>
  <c r="C115" i="1"/>
  <c r="B115" i="1"/>
  <c r="A115" i="1"/>
  <c r="H72" i="1"/>
  <c r="G72" i="1"/>
  <c r="F72" i="1"/>
  <c r="E72" i="1"/>
  <c r="D72" i="1"/>
  <c r="C72" i="1"/>
  <c r="B72" i="1"/>
  <c r="A72" i="1"/>
  <c r="H119" i="1"/>
  <c r="G119" i="1"/>
  <c r="F119" i="1"/>
  <c r="E119" i="1"/>
  <c r="D119" i="1"/>
  <c r="C119" i="1"/>
  <c r="B119" i="1"/>
  <c r="A119" i="1"/>
  <c r="H139" i="1"/>
  <c r="G139" i="1"/>
  <c r="F139" i="1"/>
  <c r="E139" i="1"/>
  <c r="D139" i="1"/>
  <c r="C139" i="1"/>
  <c r="B139" i="1"/>
  <c r="A139" i="1"/>
  <c r="I104" i="1"/>
  <c r="H104" i="1"/>
  <c r="G104" i="1"/>
  <c r="F104" i="1"/>
  <c r="E104" i="1"/>
  <c r="D104" i="1"/>
  <c r="C104" i="1"/>
  <c r="B104" i="1"/>
  <c r="A104" i="1"/>
  <c r="I15" i="1"/>
  <c r="H15" i="1"/>
  <c r="G15" i="1"/>
  <c r="F15" i="1"/>
  <c r="E15" i="1"/>
  <c r="D15" i="1"/>
  <c r="C15" i="1"/>
  <c r="B15" i="1"/>
  <c r="A15" i="1"/>
  <c r="I20" i="1"/>
  <c r="H20" i="1"/>
  <c r="G20" i="1"/>
  <c r="F20" i="1"/>
  <c r="E20" i="1"/>
  <c r="D20" i="1"/>
  <c r="C20" i="1"/>
  <c r="B20" i="1"/>
  <c r="A20" i="1"/>
  <c r="I48" i="1"/>
  <c r="H48" i="1"/>
  <c r="G48" i="1"/>
  <c r="F48" i="1"/>
  <c r="E48" i="1"/>
  <c r="D48" i="1"/>
  <c r="C48" i="1"/>
  <c r="B48" i="1"/>
  <c r="A48" i="1"/>
  <c r="I110" i="1"/>
  <c r="H110" i="1"/>
  <c r="G110" i="1"/>
  <c r="F110" i="1"/>
  <c r="E110" i="1"/>
  <c r="D110" i="1"/>
  <c r="C110" i="1"/>
  <c r="B110" i="1"/>
  <c r="A110" i="1"/>
  <c r="I116" i="1"/>
  <c r="H116" i="1"/>
  <c r="G116" i="1"/>
  <c r="F116" i="1"/>
  <c r="E116" i="1"/>
  <c r="D116" i="1"/>
  <c r="C116" i="1"/>
  <c r="B116" i="1"/>
  <c r="A116" i="1"/>
  <c r="H86" i="1"/>
  <c r="G86" i="1"/>
  <c r="F86" i="1"/>
  <c r="E86" i="1"/>
  <c r="D86" i="1"/>
  <c r="C86" i="1"/>
  <c r="B86" i="1"/>
  <c r="A86" i="1"/>
  <c r="I89" i="1"/>
  <c r="H89" i="1"/>
  <c r="G89" i="1"/>
  <c r="F89" i="1"/>
  <c r="E89" i="1"/>
  <c r="D89" i="1"/>
  <c r="C89" i="1"/>
  <c r="B89" i="1"/>
  <c r="A89" i="1"/>
  <c r="I123" i="1"/>
  <c r="H123" i="1"/>
  <c r="G123" i="1"/>
  <c r="F123" i="1"/>
  <c r="E123" i="1"/>
  <c r="D123" i="1"/>
  <c r="C123" i="1"/>
  <c r="B123" i="1"/>
  <c r="A123" i="1"/>
  <c r="I23" i="1"/>
  <c r="H23" i="1"/>
  <c r="G23" i="1"/>
  <c r="F23" i="1"/>
  <c r="E23" i="1"/>
  <c r="D23" i="1"/>
  <c r="C23" i="1"/>
  <c r="B23" i="1"/>
  <c r="A23" i="1"/>
  <c r="I153" i="1"/>
  <c r="H153" i="1"/>
  <c r="G153" i="1"/>
  <c r="F153" i="1"/>
  <c r="E153" i="1"/>
  <c r="D153" i="1"/>
  <c r="C153" i="1"/>
  <c r="B153" i="1"/>
  <c r="A153" i="1"/>
  <c r="I127" i="1"/>
  <c r="H127" i="1"/>
  <c r="G127" i="1"/>
  <c r="F127" i="1"/>
  <c r="E127" i="1"/>
  <c r="D127" i="1"/>
  <c r="C127" i="1"/>
  <c r="B127" i="1"/>
  <c r="A127" i="1"/>
  <c r="H51" i="1"/>
  <c r="G51" i="1"/>
  <c r="F51" i="1"/>
  <c r="E51" i="1"/>
  <c r="D51" i="1"/>
  <c r="C51" i="1"/>
  <c r="B51" i="1"/>
  <c r="A51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61" i="1"/>
  <c r="G61" i="1"/>
  <c r="F61" i="1"/>
  <c r="E61" i="1"/>
  <c r="D61" i="1"/>
  <c r="C61" i="1"/>
  <c r="B61" i="1"/>
  <c r="A61" i="1"/>
  <c r="I112" i="1"/>
  <c r="H112" i="1"/>
  <c r="G112" i="1"/>
  <c r="F112" i="1"/>
  <c r="E112" i="1"/>
  <c r="D112" i="1"/>
  <c r="C112" i="1"/>
  <c r="B112" i="1"/>
  <c r="A112" i="1"/>
  <c r="I149" i="1"/>
  <c r="H149" i="1"/>
  <c r="G149" i="1"/>
  <c r="F149" i="1"/>
  <c r="E149" i="1"/>
  <c r="D149" i="1"/>
  <c r="C149" i="1"/>
  <c r="B149" i="1"/>
  <c r="A149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4" i="1"/>
  <c r="G4" i="1"/>
  <c r="F4" i="1"/>
  <c r="E4" i="1"/>
  <c r="D4" i="1"/>
  <c r="C4" i="1"/>
  <c r="B4" i="1"/>
  <c r="A4" i="1"/>
  <c r="H137" i="1"/>
  <c r="G137" i="1"/>
  <c r="F137" i="1"/>
  <c r="E137" i="1"/>
  <c r="D137" i="1"/>
  <c r="C137" i="1"/>
  <c r="B137" i="1"/>
  <c r="A137" i="1"/>
  <c r="H150" i="1"/>
  <c r="G150" i="1"/>
  <c r="F150" i="1"/>
  <c r="E150" i="1"/>
  <c r="D150" i="1"/>
  <c r="C150" i="1"/>
  <c r="B150" i="1"/>
  <c r="A150" i="1"/>
  <c r="H141" i="1"/>
  <c r="G141" i="1"/>
  <c r="F141" i="1"/>
  <c r="E141" i="1"/>
  <c r="D141" i="1"/>
  <c r="C141" i="1"/>
  <c r="B141" i="1"/>
  <c r="A141" i="1"/>
  <c r="I21" i="1"/>
  <c r="H21" i="1"/>
  <c r="G21" i="1"/>
  <c r="F21" i="1"/>
  <c r="E21" i="1"/>
  <c r="D21" i="1"/>
  <c r="C21" i="1"/>
  <c r="B21" i="1"/>
  <c r="A21" i="1"/>
  <c r="H130" i="1"/>
  <c r="G130" i="1"/>
  <c r="F130" i="1"/>
  <c r="E130" i="1"/>
  <c r="D130" i="1"/>
  <c r="C130" i="1"/>
  <c r="B130" i="1"/>
  <c r="A130" i="1"/>
  <c r="I133" i="1"/>
  <c r="H133" i="1"/>
  <c r="G133" i="1"/>
  <c r="F133" i="1"/>
  <c r="E133" i="1"/>
  <c r="D133" i="1"/>
  <c r="C133" i="1"/>
  <c r="B133" i="1"/>
  <c r="A133" i="1"/>
  <c r="I118" i="1"/>
  <c r="H118" i="1"/>
  <c r="G118" i="1"/>
  <c r="F118" i="1"/>
  <c r="E118" i="1"/>
  <c r="D118" i="1"/>
  <c r="C118" i="1"/>
  <c r="B118" i="1"/>
  <c r="A118" i="1"/>
  <c r="H3" i="1"/>
  <c r="G3" i="1"/>
  <c r="F3" i="1"/>
  <c r="E3" i="1"/>
  <c r="D3" i="1"/>
  <c r="C3" i="1"/>
  <c r="B3" i="1"/>
  <c r="A3" i="1"/>
  <c r="I114" i="1"/>
  <c r="H114" i="1"/>
  <c r="G114" i="1"/>
  <c r="F114" i="1"/>
  <c r="E114" i="1"/>
  <c r="D114" i="1"/>
  <c r="C114" i="1"/>
  <c r="B114" i="1"/>
  <c r="A114" i="1"/>
  <c r="H60" i="1"/>
  <c r="G60" i="1"/>
  <c r="F60" i="1"/>
  <c r="E60" i="1"/>
  <c r="D60" i="1"/>
  <c r="C60" i="1"/>
  <c r="B60" i="1"/>
  <c r="A60" i="1"/>
  <c r="H9" i="1"/>
  <c r="G9" i="1"/>
  <c r="F9" i="1"/>
  <c r="E9" i="1"/>
  <c r="D9" i="1"/>
  <c r="C9" i="1"/>
  <c r="B9" i="1"/>
  <c r="A9" i="1"/>
  <c r="I103" i="1"/>
  <c r="H103" i="1"/>
  <c r="G103" i="1"/>
  <c r="F103" i="1"/>
  <c r="E103" i="1"/>
  <c r="D103" i="1"/>
  <c r="C103" i="1"/>
  <c r="B103" i="1"/>
  <c r="A103" i="1"/>
  <c r="H50" i="1"/>
  <c r="G50" i="1"/>
  <c r="F50" i="1"/>
  <c r="E50" i="1"/>
  <c r="D50" i="1"/>
  <c r="C50" i="1"/>
  <c r="B50" i="1"/>
  <c r="A50" i="1"/>
  <c r="H78" i="1"/>
  <c r="G78" i="1"/>
  <c r="F78" i="1"/>
  <c r="E78" i="1"/>
  <c r="D78" i="1"/>
  <c r="C78" i="1"/>
  <c r="B78" i="1"/>
  <c r="A78" i="1"/>
  <c r="H79" i="1"/>
  <c r="G79" i="1"/>
  <c r="F79" i="1"/>
  <c r="E79" i="1"/>
  <c r="D79" i="1"/>
  <c r="C79" i="1"/>
  <c r="B79" i="1"/>
  <c r="A79" i="1"/>
  <c r="I152" i="1"/>
  <c r="H152" i="1"/>
  <c r="G152" i="1"/>
  <c r="F152" i="1"/>
  <c r="E152" i="1"/>
  <c r="D152" i="1"/>
  <c r="C152" i="1"/>
  <c r="B152" i="1"/>
  <c r="A152" i="1"/>
  <c r="I132" i="1"/>
  <c r="H132" i="1"/>
  <c r="G132" i="1"/>
  <c r="F132" i="1"/>
  <c r="E132" i="1"/>
  <c r="D132" i="1"/>
  <c r="C132" i="1"/>
  <c r="B132" i="1"/>
  <c r="A132" i="1"/>
  <c r="H121" i="1"/>
  <c r="G121" i="1"/>
  <c r="F121" i="1"/>
  <c r="E121" i="1"/>
  <c r="D121" i="1"/>
  <c r="C121" i="1"/>
  <c r="B121" i="1"/>
  <c r="A121" i="1"/>
  <c r="I128" i="1"/>
  <c r="H128" i="1"/>
  <c r="G128" i="1"/>
  <c r="F128" i="1"/>
  <c r="E128" i="1"/>
  <c r="D128" i="1"/>
  <c r="C128" i="1"/>
  <c r="B128" i="1"/>
  <c r="A128" i="1"/>
  <c r="H76" i="1"/>
  <c r="G76" i="1"/>
  <c r="F76" i="1"/>
  <c r="E76" i="1"/>
  <c r="D76" i="1"/>
  <c r="C76" i="1"/>
  <c r="B76" i="1"/>
  <c r="A76" i="1"/>
  <c r="I143" i="1"/>
  <c r="H143" i="1"/>
  <c r="G143" i="1"/>
  <c r="F143" i="1"/>
  <c r="E143" i="1"/>
  <c r="D143" i="1"/>
  <c r="C143" i="1"/>
  <c r="B143" i="1"/>
  <c r="A143" i="1"/>
  <c r="I125" i="1"/>
  <c r="H125" i="1"/>
  <c r="G125" i="1"/>
  <c r="F125" i="1"/>
  <c r="E125" i="1"/>
  <c r="D125" i="1"/>
  <c r="C125" i="1"/>
  <c r="B125" i="1"/>
  <c r="A125" i="1"/>
  <c r="I136" i="1"/>
  <c r="H136" i="1"/>
  <c r="G136" i="1"/>
  <c r="F136" i="1"/>
  <c r="E136" i="1"/>
  <c r="D136" i="1"/>
  <c r="C136" i="1"/>
  <c r="B136" i="1"/>
  <c r="A136" i="1"/>
  <c r="I124" i="1"/>
  <c r="H124" i="1"/>
  <c r="G124" i="1"/>
  <c r="F124" i="1"/>
  <c r="E124" i="1"/>
  <c r="D124" i="1"/>
  <c r="C124" i="1"/>
  <c r="B124" i="1"/>
  <c r="A124" i="1"/>
  <c r="I126" i="1"/>
  <c r="H126" i="1"/>
  <c r="G126" i="1"/>
  <c r="F126" i="1"/>
  <c r="E126" i="1"/>
  <c r="D126" i="1"/>
  <c r="C126" i="1"/>
  <c r="B126" i="1"/>
  <c r="A126" i="1"/>
  <c r="I147" i="1"/>
  <c r="H147" i="1"/>
  <c r="G147" i="1"/>
  <c r="F147" i="1"/>
  <c r="E147" i="1"/>
  <c r="D147" i="1"/>
  <c r="C147" i="1"/>
  <c r="B147" i="1"/>
  <c r="A147" i="1"/>
  <c r="I142" i="1"/>
  <c r="H142" i="1"/>
  <c r="G142" i="1"/>
  <c r="F142" i="1"/>
  <c r="E142" i="1"/>
  <c r="D142" i="1"/>
  <c r="C142" i="1"/>
  <c r="B142" i="1"/>
  <c r="A142" i="1"/>
  <c r="H122" i="1"/>
  <c r="G122" i="1"/>
  <c r="F122" i="1"/>
  <c r="E122" i="1"/>
  <c r="D122" i="1"/>
  <c r="C122" i="1"/>
  <c r="B122" i="1"/>
  <c r="A122" i="1"/>
  <c r="I12" i="1"/>
  <c r="H12" i="1"/>
  <c r="G12" i="1"/>
  <c r="F12" i="1"/>
  <c r="E12" i="1"/>
  <c r="D12" i="1"/>
  <c r="C12" i="1"/>
  <c r="B12" i="1"/>
  <c r="A12" i="1"/>
  <c r="I22" i="1"/>
  <c r="H22" i="1"/>
  <c r="G22" i="1"/>
  <c r="F22" i="1"/>
  <c r="E22" i="1"/>
  <c r="D22" i="1"/>
  <c r="C22" i="1"/>
  <c r="B22" i="1"/>
  <c r="A22" i="1"/>
  <c r="H95" i="1"/>
  <c r="G95" i="1"/>
  <c r="F95" i="1"/>
  <c r="E95" i="1"/>
  <c r="D95" i="1"/>
  <c r="C95" i="1"/>
  <c r="B95" i="1"/>
  <c r="A95" i="1"/>
  <c r="H26" i="1"/>
  <c r="G26" i="1"/>
  <c r="F26" i="1"/>
  <c r="E26" i="1"/>
  <c r="D26" i="1"/>
  <c r="C26" i="1"/>
  <c r="B26" i="1"/>
  <c r="A26" i="1"/>
  <c r="H55" i="1"/>
  <c r="G55" i="1"/>
  <c r="F55" i="1"/>
  <c r="E55" i="1"/>
  <c r="D55" i="1"/>
  <c r="C55" i="1"/>
  <c r="B55" i="1"/>
  <c r="A55" i="1"/>
  <c r="H8" i="1"/>
  <c r="G8" i="1"/>
  <c r="F8" i="1"/>
  <c r="E8" i="1"/>
  <c r="D8" i="1"/>
  <c r="C8" i="1"/>
  <c r="B8" i="1"/>
  <c r="A8" i="1"/>
  <c r="H36" i="1"/>
  <c r="G36" i="1"/>
  <c r="F36" i="1"/>
  <c r="E36" i="1"/>
  <c r="D36" i="1"/>
  <c r="C36" i="1"/>
  <c r="B36" i="1"/>
  <c r="A36" i="1"/>
  <c r="H54" i="1"/>
  <c r="G54" i="1"/>
  <c r="F54" i="1"/>
  <c r="E54" i="1"/>
  <c r="D54" i="1"/>
  <c r="C54" i="1"/>
  <c r="B54" i="1"/>
  <c r="A54" i="1"/>
  <c r="H129" i="1"/>
  <c r="G129" i="1"/>
  <c r="F129" i="1"/>
  <c r="E129" i="1"/>
  <c r="D129" i="1"/>
  <c r="C129" i="1"/>
  <c r="B129" i="1"/>
  <c r="A129" i="1"/>
  <c r="H135" i="1"/>
  <c r="G135" i="1"/>
  <c r="F135" i="1"/>
  <c r="E135" i="1"/>
  <c r="D135" i="1"/>
  <c r="C135" i="1"/>
  <c r="B135" i="1"/>
  <c r="A135" i="1"/>
  <c r="H11" i="1"/>
  <c r="G11" i="1"/>
  <c r="F11" i="1"/>
  <c r="E11" i="1"/>
  <c r="D11" i="1"/>
  <c r="C11" i="1"/>
  <c r="B11" i="1"/>
  <c r="A11" i="1"/>
  <c r="I16" i="1"/>
  <c r="H16" i="1"/>
  <c r="G16" i="1"/>
  <c r="F16" i="1"/>
  <c r="E16" i="1"/>
  <c r="D16" i="1"/>
  <c r="C16" i="1"/>
  <c r="B16" i="1"/>
  <c r="A16" i="1"/>
  <c r="H37" i="1"/>
  <c r="G37" i="1"/>
  <c r="F37" i="1"/>
  <c r="E37" i="1"/>
  <c r="D37" i="1"/>
  <c r="C37" i="1"/>
  <c r="B37" i="1"/>
  <c r="A37" i="1"/>
  <c r="H71" i="1"/>
  <c r="G71" i="1"/>
  <c r="F71" i="1"/>
  <c r="E71" i="1"/>
  <c r="D71" i="1"/>
  <c r="C71" i="1"/>
  <c r="B71" i="1"/>
  <c r="A71" i="1"/>
  <c r="H47" i="1"/>
  <c r="G47" i="1"/>
  <c r="F47" i="1"/>
  <c r="E47" i="1"/>
  <c r="D47" i="1"/>
  <c r="C47" i="1"/>
  <c r="B47" i="1"/>
  <c r="A47" i="1"/>
  <c r="H113" i="1"/>
  <c r="G113" i="1"/>
  <c r="F113" i="1"/>
  <c r="E113" i="1"/>
  <c r="D113" i="1"/>
  <c r="C113" i="1"/>
  <c r="B113" i="1"/>
  <c r="A113" i="1"/>
  <c r="H134" i="1"/>
  <c r="G134" i="1"/>
  <c r="F134" i="1"/>
  <c r="E134" i="1"/>
  <c r="D134" i="1"/>
  <c r="C134" i="1"/>
  <c r="B134" i="1"/>
  <c r="A134" i="1"/>
  <c r="H19" i="1"/>
  <c r="G19" i="1"/>
  <c r="F19" i="1"/>
  <c r="E19" i="1"/>
  <c r="D19" i="1"/>
  <c r="C19" i="1"/>
  <c r="B19" i="1"/>
  <c r="A19" i="1"/>
  <c r="H38" i="1"/>
  <c r="G38" i="1"/>
  <c r="F38" i="1"/>
  <c r="E38" i="1"/>
  <c r="D38" i="1"/>
  <c r="C38" i="1"/>
  <c r="B38" i="1"/>
  <c r="A38" i="1"/>
  <c r="H101" i="1"/>
  <c r="G101" i="1"/>
  <c r="F101" i="1"/>
  <c r="E101" i="1"/>
  <c r="D101" i="1"/>
  <c r="C101" i="1"/>
  <c r="B101" i="1"/>
  <c r="A101" i="1"/>
  <c r="I49" i="1"/>
  <c r="H49" i="1"/>
  <c r="G49" i="1"/>
  <c r="F49" i="1"/>
  <c r="E49" i="1"/>
  <c r="D49" i="1"/>
  <c r="C49" i="1"/>
  <c r="B49" i="1"/>
  <c r="A49" i="1"/>
  <c r="H107" i="1"/>
  <c r="G107" i="1"/>
  <c r="F107" i="1"/>
  <c r="E107" i="1"/>
  <c r="D107" i="1"/>
  <c r="C107" i="1"/>
  <c r="B107" i="1"/>
  <c r="A107" i="1"/>
  <c r="H27" i="1"/>
  <c r="G27" i="1"/>
  <c r="F27" i="1"/>
  <c r="E27" i="1"/>
  <c r="D27" i="1"/>
  <c r="C27" i="1"/>
  <c r="B27" i="1"/>
  <c r="A27" i="1"/>
  <c r="I65" i="1"/>
  <c r="H65" i="1"/>
  <c r="G65" i="1"/>
  <c r="F65" i="1"/>
  <c r="E65" i="1"/>
  <c r="D65" i="1"/>
  <c r="C65" i="1"/>
  <c r="B65" i="1"/>
  <c r="A65" i="1"/>
  <c r="I43" i="1"/>
  <c r="H43" i="1"/>
  <c r="G43" i="1"/>
  <c r="F43" i="1"/>
  <c r="E43" i="1"/>
  <c r="D43" i="1"/>
  <c r="C43" i="1"/>
  <c r="B43" i="1"/>
  <c r="A43" i="1"/>
  <c r="H40" i="1"/>
  <c r="G40" i="1"/>
  <c r="F40" i="1"/>
  <c r="E40" i="1"/>
  <c r="D40" i="1"/>
  <c r="C40" i="1"/>
  <c r="B40" i="1"/>
  <c r="A40" i="1"/>
  <c r="H151" i="1"/>
  <c r="G151" i="1"/>
  <c r="F151" i="1"/>
  <c r="E151" i="1"/>
  <c r="D151" i="1"/>
  <c r="C151" i="1"/>
  <c r="B151" i="1"/>
  <c r="A151" i="1"/>
  <c r="I32" i="1"/>
  <c r="H32" i="1"/>
  <c r="G32" i="1"/>
  <c r="F32" i="1"/>
  <c r="E32" i="1"/>
  <c r="D32" i="1"/>
  <c r="C32" i="1"/>
  <c r="B32" i="1"/>
  <c r="A32" i="1"/>
  <c r="I2" i="1"/>
  <c r="H2" i="1"/>
  <c r="G2" i="1"/>
  <c r="F2" i="1"/>
  <c r="E2" i="1"/>
  <c r="D2" i="1"/>
  <c r="C2" i="1"/>
  <c r="B2" i="1"/>
  <c r="A2" i="1"/>
  <c r="I42" i="1"/>
  <c r="H42" i="1"/>
  <c r="G42" i="1"/>
  <c r="F42" i="1"/>
  <c r="E42" i="1"/>
  <c r="D42" i="1"/>
  <c r="C42" i="1"/>
  <c r="B42" i="1"/>
  <c r="A42" i="1"/>
  <c r="H148" i="1"/>
  <c r="G148" i="1"/>
  <c r="F148" i="1"/>
  <c r="E148" i="1"/>
  <c r="D148" i="1"/>
  <c r="C148" i="1"/>
  <c r="B148" i="1"/>
  <c r="A148" i="1"/>
  <c r="I6" i="1"/>
  <c r="H6" i="1"/>
  <c r="G6" i="1"/>
  <c r="F6" i="1"/>
  <c r="E6" i="1"/>
  <c r="D6" i="1"/>
  <c r="C6" i="1"/>
  <c r="B6" i="1"/>
  <c r="A6" i="1"/>
  <c r="H131" i="1"/>
  <c r="G131" i="1"/>
  <c r="F131" i="1"/>
  <c r="E131" i="1"/>
  <c r="D131" i="1"/>
  <c r="C131" i="1"/>
  <c r="B131" i="1"/>
  <c r="A131" i="1"/>
  <c r="I91" i="1"/>
  <c r="H91" i="1"/>
  <c r="G91" i="1"/>
  <c r="F91" i="1"/>
  <c r="E91" i="1"/>
  <c r="D91" i="1"/>
  <c r="C91" i="1"/>
  <c r="B91" i="1"/>
  <c r="A91" i="1"/>
  <c r="H94" i="1"/>
  <c r="G94" i="1"/>
  <c r="F94" i="1"/>
  <c r="E94" i="1"/>
  <c r="D94" i="1"/>
  <c r="C94" i="1"/>
  <c r="B94" i="1"/>
  <c r="A94" i="1"/>
  <c r="H108" i="1"/>
  <c r="G108" i="1"/>
  <c r="F108" i="1"/>
  <c r="E108" i="1"/>
  <c r="D108" i="1"/>
  <c r="C108" i="1"/>
  <c r="B108" i="1"/>
  <c r="A108" i="1"/>
  <c r="H34" i="1"/>
  <c r="G34" i="1"/>
  <c r="F34" i="1"/>
  <c r="E34" i="1"/>
  <c r="D34" i="1"/>
  <c r="C34" i="1"/>
  <c r="B34" i="1"/>
  <c r="A34" i="1"/>
  <c r="I40" i="2"/>
  <c r="H40" i="2"/>
  <c r="G40" i="2"/>
  <c r="F40" i="2"/>
  <c r="E40" i="2"/>
  <c r="D40" i="2"/>
  <c r="C40" i="2"/>
  <c r="B40" i="2"/>
  <c r="A40" i="2"/>
  <c r="I60" i="2"/>
  <c r="H60" i="2"/>
  <c r="G60" i="2"/>
  <c r="F60" i="2"/>
  <c r="E60" i="2"/>
  <c r="D60" i="2"/>
  <c r="C60" i="2"/>
  <c r="B60" i="2"/>
  <c r="A60" i="2"/>
  <c r="I65" i="2"/>
  <c r="H65" i="2"/>
  <c r="G65" i="2"/>
  <c r="F65" i="2"/>
  <c r="E65" i="2"/>
  <c r="D65" i="2"/>
  <c r="C65" i="2"/>
  <c r="B65" i="2"/>
  <c r="A65" i="2"/>
  <c r="I25" i="2"/>
  <c r="H25" i="2"/>
  <c r="G25" i="2"/>
  <c r="F25" i="2"/>
  <c r="E25" i="2"/>
  <c r="D25" i="2"/>
  <c r="C25" i="2"/>
  <c r="B25" i="2"/>
  <c r="A25" i="2"/>
  <c r="I49" i="2"/>
  <c r="H49" i="2"/>
  <c r="G49" i="2"/>
  <c r="F49" i="2"/>
  <c r="E49" i="2"/>
  <c r="D49" i="2"/>
  <c r="C49" i="2"/>
  <c r="B49" i="2"/>
  <c r="A49" i="2"/>
  <c r="I10" i="2"/>
  <c r="H10" i="2"/>
  <c r="G10" i="2"/>
  <c r="F10" i="2"/>
  <c r="E10" i="2"/>
  <c r="D10" i="2"/>
  <c r="C10" i="2"/>
  <c r="B10" i="2"/>
  <c r="A10" i="2"/>
  <c r="I44" i="2"/>
  <c r="H44" i="2"/>
  <c r="G44" i="2"/>
  <c r="F44" i="2"/>
  <c r="E44" i="2"/>
  <c r="D44" i="2"/>
  <c r="C44" i="2"/>
  <c r="B44" i="2"/>
  <c r="A44" i="2"/>
  <c r="I14" i="2"/>
  <c r="H14" i="2"/>
  <c r="G14" i="2"/>
  <c r="F14" i="2"/>
  <c r="E14" i="2"/>
  <c r="D14" i="2"/>
  <c r="C14" i="2"/>
  <c r="B14" i="2"/>
  <c r="A14" i="2"/>
  <c r="I54" i="2"/>
  <c r="H54" i="2"/>
  <c r="G54" i="2"/>
  <c r="F54" i="2"/>
  <c r="E54" i="2"/>
  <c r="D54" i="2"/>
  <c r="C54" i="2"/>
  <c r="B54" i="2"/>
  <c r="A54" i="2"/>
  <c r="I23" i="2"/>
  <c r="H23" i="2"/>
  <c r="G23" i="2"/>
  <c r="F23" i="2"/>
  <c r="E23" i="2"/>
  <c r="D23" i="2"/>
  <c r="C23" i="2"/>
  <c r="B23" i="2"/>
  <c r="A23" i="2"/>
  <c r="I17" i="2"/>
  <c r="H17" i="2"/>
  <c r="G17" i="2"/>
  <c r="F17" i="2"/>
  <c r="E17" i="2"/>
  <c r="D17" i="2"/>
  <c r="C17" i="2"/>
  <c r="B17" i="2"/>
  <c r="A17" i="2"/>
  <c r="I29" i="2"/>
  <c r="H29" i="2"/>
  <c r="G29" i="2"/>
  <c r="F29" i="2"/>
  <c r="E29" i="2"/>
  <c r="D29" i="2"/>
  <c r="C29" i="2"/>
  <c r="B29" i="2"/>
  <c r="A29" i="2"/>
  <c r="I43" i="2"/>
  <c r="H43" i="2"/>
  <c r="G43" i="2"/>
  <c r="F43" i="2"/>
  <c r="E43" i="2"/>
  <c r="D43" i="2"/>
  <c r="C43" i="2"/>
  <c r="B43" i="2"/>
  <c r="A43" i="2"/>
  <c r="I58" i="2"/>
  <c r="H58" i="2"/>
  <c r="G58" i="2"/>
  <c r="F58" i="2"/>
  <c r="E58" i="2"/>
  <c r="D58" i="2"/>
  <c r="C58" i="2"/>
  <c r="B58" i="2"/>
  <c r="A58" i="2"/>
  <c r="I38" i="2"/>
  <c r="H38" i="2"/>
  <c r="G38" i="2"/>
  <c r="F38" i="2"/>
  <c r="E38" i="2"/>
  <c r="D38" i="2"/>
  <c r="C38" i="2"/>
  <c r="B38" i="2"/>
  <c r="A38" i="2"/>
  <c r="I64" i="2"/>
  <c r="H64" i="2"/>
  <c r="G64" i="2"/>
  <c r="F64" i="2"/>
  <c r="E64" i="2"/>
  <c r="D64" i="2"/>
  <c r="C64" i="2"/>
  <c r="B64" i="2"/>
  <c r="A64" i="2"/>
  <c r="I34" i="2"/>
  <c r="H34" i="2"/>
  <c r="G34" i="2"/>
  <c r="F34" i="2"/>
  <c r="E34" i="2"/>
  <c r="D34" i="2"/>
  <c r="C34" i="2"/>
  <c r="B34" i="2"/>
  <c r="A34" i="2"/>
  <c r="H51" i="2"/>
  <c r="G51" i="2"/>
  <c r="F51" i="2"/>
  <c r="E51" i="2"/>
  <c r="D51" i="2"/>
  <c r="C51" i="2"/>
  <c r="B51" i="2"/>
  <c r="A51" i="2"/>
  <c r="I66" i="2"/>
  <c r="H66" i="2"/>
  <c r="G66" i="2"/>
  <c r="F66" i="2"/>
  <c r="E66" i="2"/>
  <c r="D66" i="2"/>
  <c r="C66" i="2"/>
  <c r="B66" i="2"/>
  <c r="A66" i="2"/>
  <c r="I46" i="2"/>
  <c r="H46" i="2"/>
  <c r="G46" i="2"/>
  <c r="F46" i="2"/>
  <c r="E46" i="2"/>
  <c r="D46" i="2"/>
  <c r="C46" i="2"/>
  <c r="B46" i="2"/>
  <c r="A46" i="2"/>
  <c r="I57" i="2"/>
  <c r="H57" i="2"/>
  <c r="G57" i="2"/>
  <c r="F57" i="2"/>
  <c r="E57" i="2"/>
  <c r="D57" i="2"/>
  <c r="C57" i="2"/>
  <c r="B57" i="2"/>
  <c r="A57" i="2"/>
  <c r="I47" i="2"/>
  <c r="H47" i="2"/>
  <c r="G47" i="2"/>
  <c r="F47" i="2"/>
  <c r="E47" i="2"/>
  <c r="D47" i="2"/>
  <c r="C47" i="2"/>
  <c r="B47" i="2"/>
  <c r="A47" i="2"/>
  <c r="I53" i="2"/>
  <c r="H53" i="2"/>
  <c r="G53" i="2"/>
  <c r="F53" i="2"/>
  <c r="E53" i="2"/>
  <c r="D53" i="2"/>
  <c r="C53" i="2"/>
  <c r="B53" i="2"/>
  <c r="A53" i="2"/>
  <c r="I75" i="2"/>
  <c r="H75" i="2"/>
  <c r="G75" i="2"/>
  <c r="F75" i="2"/>
  <c r="E75" i="2"/>
  <c r="D75" i="2"/>
  <c r="C75" i="2"/>
  <c r="B75" i="2"/>
  <c r="A75" i="2"/>
  <c r="I79" i="2"/>
  <c r="H79" i="2"/>
  <c r="G79" i="2"/>
  <c r="F79" i="2"/>
  <c r="E79" i="2"/>
  <c r="D79" i="2"/>
  <c r="C79" i="2"/>
  <c r="B79" i="2"/>
  <c r="A79" i="2"/>
  <c r="I50" i="2"/>
  <c r="H50" i="2"/>
  <c r="G50" i="2"/>
  <c r="F50" i="2"/>
  <c r="E50" i="2"/>
  <c r="D50" i="2"/>
  <c r="C50" i="2"/>
  <c r="B50" i="2"/>
  <c r="A50" i="2"/>
  <c r="I59" i="2"/>
  <c r="H59" i="2"/>
  <c r="G59" i="2"/>
  <c r="F59" i="2"/>
  <c r="E59" i="2"/>
  <c r="D59" i="2"/>
  <c r="C59" i="2"/>
  <c r="B59" i="2"/>
  <c r="A59" i="2"/>
  <c r="I77" i="2"/>
  <c r="H77" i="2"/>
  <c r="G77" i="2"/>
  <c r="F77" i="2"/>
  <c r="E77" i="2"/>
  <c r="D77" i="2"/>
  <c r="C77" i="2"/>
  <c r="B77" i="2"/>
  <c r="A77" i="2"/>
  <c r="I37" i="2"/>
  <c r="H37" i="2"/>
  <c r="G37" i="2"/>
  <c r="F37" i="2"/>
  <c r="E37" i="2"/>
  <c r="D37" i="2"/>
  <c r="C37" i="2"/>
  <c r="B37" i="2"/>
  <c r="A37" i="2"/>
  <c r="I42" i="2"/>
  <c r="H42" i="2"/>
  <c r="G42" i="2"/>
  <c r="F42" i="2"/>
  <c r="E42" i="2"/>
  <c r="D42" i="2"/>
  <c r="C42" i="2"/>
  <c r="B42" i="2"/>
  <c r="A42" i="2"/>
  <c r="H48" i="2"/>
  <c r="G48" i="2"/>
  <c r="F48" i="2"/>
  <c r="E48" i="2"/>
  <c r="D48" i="2"/>
  <c r="C48" i="2"/>
  <c r="B48" i="2"/>
  <c r="A48" i="2"/>
  <c r="H45" i="2"/>
  <c r="G45" i="2"/>
  <c r="F45" i="2"/>
  <c r="E45" i="2"/>
  <c r="D45" i="2"/>
  <c r="C45" i="2"/>
  <c r="B45" i="2"/>
  <c r="A45" i="2"/>
  <c r="H36" i="2"/>
  <c r="G36" i="2"/>
  <c r="F36" i="2"/>
  <c r="E36" i="2"/>
  <c r="D36" i="2"/>
  <c r="C36" i="2"/>
  <c r="B36" i="2"/>
  <c r="A36" i="2"/>
  <c r="I33" i="2"/>
  <c r="H33" i="2"/>
  <c r="G33" i="2"/>
  <c r="F33" i="2"/>
  <c r="E33" i="2"/>
  <c r="D33" i="2"/>
  <c r="C33" i="2"/>
  <c r="B33" i="2"/>
  <c r="A33" i="2"/>
  <c r="H9" i="2"/>
  <c r="G9" i="2"/>
  <c r="F9" i="2"/>
  <c r="E9" i="2"/>
  <c r="D9" i="2"/>
  <c r="C9" i="2"/>
  <c r="B9" i="2"/>
  <c r="A9" i="2"/>
  <c r="I22" i="2"/>
  <c r="H22" i="2"/>
  <c r="G22" i="2"/>
  <c r="F22" i="2"/>
  <c r="E22" i="2"/>
  <c r="D22" i="2"/>
  <c r="C22" i="2"/>
  <c r="B22" i="2"/>
  <c r="A22" i="2"/>
  <c r="H39" i="2"/>
  <c r="G39" i="2"/>
  <c r="F39" i="2"/>
  <c r="E39" i="2"/>
  <c r="D39" i="2"/>
  <c r="C39" i="2"/>
  <c r="B39" i="2"/>
  <c r="A39" i="2"/>
  <c r="I18" i="2"/>
  <c r="H18" i="2"/>
  <c r="G18" i="2"/>
  <c r="F18" i="2"/>
  <c r="E18" i="2"/>
  <c r="D18" i="2"/>
  <c r="C18" i="2"/>
  <c r="B18" i="2"/>
  <c r="A18" i="2"/>
  <c r="I71" i="2"/>
  <c r="H71" i="2"/>
  <c r="G71" i="2"/>
  <c r="F71" i="2"/>
  <c r="E71" i="2"/>
  <c r="D71" i="2"/>
  <c r="C71" i="2"/>
  <c r="B71" i="2"/>
  <c r="A71" i="2"/>
  <c r="I26" i="2"/>
  <c r="H26" i="2"/>
  <c r="G26" i="2"/>
  <c r="F26" i="2"/>
  <c r="E26" i="2"/>
  <c r="D26" i="2"/>
  <c r="C26" i="2"/>
  <c r="B26" i="2"/>
  <c r="A26" i="2"/>
  <c r="H63" i="2"/>
  <c r="G63" i="2"/>
  <c r="F63" i="2"/>
  <c r="E63" i="2"/>
  <c r="D63" i="2"/>
  <c r="C63" i="2"/>
  <c r="B63" i="2"/>
  <c r="A63" i="2"/>
  <c r="H62" i="2"/>
  <c r="G62" i="2"/>
  <c r="F62" i="2"/>
  <c r="E62" i="2"/>
  <c r="D62" i="2"/>
  <c r="C62" i="2"/>
  <c r="B62" i="2"/>
  <c r="A62" i="2"/>
  <c r="H61" i="2"/>
  <c r="G61" i="2"/>
  <c r="F61" i="2"/>
  <c r="E61" i="2"/>
  <c r="D61" i="2"/>
  <c r="C61" i="2"/>
  <c r="B61" i="2"/>
  <c r="A61" i="2"/>
  <c r="H73" i="2"/>
  <c r="F73" i="2"/>
  <c r="E73" i="2"/>
  <c r="C73" i="2"/>
  <c r="B73" i="2"/>
  <c r="A73" i="2"/>
  <c r="H41" i="2"/>
  <c r="G41" i="2"/>
  <c r="F41" i="2"/>
  <c r="E41" i="2"/>
  <c r="D41" i="2"/>
  <c r="C41" i="2"/>
  <c r="B41" i="2"/>
  <c r="A41" i="2"/>
  <c r="H67" i="2"/>
  <c r="G67" i="2"/>
  <c r="F67" i="2"/>
  <c r="E67" i="2"/>
  <c r="D67" i="2"/>
  <c r="C67" i="2"/>
  <c r="B67" i="2"/>
  <c r="A67" i="2"/>
  <c r="H35" i="2"/>
  <c r="G35" i="2"/>
  <c r="F35" i="2"/>
  <c r="E35" i="2"/>
  <c r="D35" i="2"/>
  <c r="C35" i="2"/>
  <c r="B35" i="2"/>
  <c r="A35" i="2"/>
  <c r="H76" i="2"/>
  <c r="G76" i="2"/>
  <c r="F76" i="2"/>
  <c r="E76" i="2"/>
  <c r="D76" i="2"/>
  <c r="C76" i="2"/>
  <c r="B76" i="2"/>
  <c r="A76" i="2"/>
  <c r="H70" i="2"/>
  <c r="G70" i="2"/>
  <c r="F70" i="2"/>
  <c r="E70" i="2"/>
  <c r="D70" i="2"/>
  <c r="C70" i="2"/>
  <c r="B70" i="2"/>
  <c r="A70" i="2"/>
  <c r="H69" i="2"/>
  <c r="G69" i="2"/>
  <c r="F69" i="2"/>
  <c r="E69" i="2"/>
  <c r="D69" i="2"/>
  <c r="C69" i="2"/>
  <c r="B69" i="2"/>
  <c r="A69" i="2"/>
  <c r="H74" i="2"/>
  <c r="G74" i="2"/>
  <c r="F74" i="2"/>
  <c r="E74" i="2"/>
  <c r="D74" i="2"/>
  <c r="C74" i="2"/>
  <c r="B74" i="2"/>
  <c r="A74" i="2"/>
  <c r="H2" i="2"/>
  <c r="G2" i="2"/>
  <c r="F2" i="2"/>
  <c r="E2" i="2"/>
  <c r="D2" i="2"/>
  <c r="C2" i="2"/>
  <c r="B2" i="2"/>
  <c r="A2" i="2"/>
  <c r="H20" i="2"/>
  <c r="G20" i="2"/>
  <c r="F20" i="2"/>
  <c r="E20" i="2"/>
  <c r="D20" i="2"/>
  <c r="C20" i="2"/>
  <c r="B20" i="2"/>
  <c r="A20" i="2"/>
  <c r="I31" i="2"/>
  <c r="H31" i="2"/>
  <c r="G31" i="2"/>
  <c r="F31" i="2"/>
  <c r="E31" i="2"/>
  <c r="D31" i="2"/>
  <c r="C31" i="2"/>
  <c r="B31" i="2"/>
  <c r="A31" i="2"/>
  <c r="H6" i="2"/>
  <c r="G6" i="2"/>
  <c r="F6" i="2"/>
  <c r="E6" i="2"/>
  <c r="D6" i="2"/>
  <c r="C6" i="2"/>
  <c r="B6" i="2"/>
  <c r="A6" i="2"/>
  <c r="H4" i="2"/>
  <c r="G4" i="2"/>
  <c r="F4" i="2"/>
  <c r="E4" i="2"/>
  <c r="D4" i="2"/>
  <c r="C4" i="2"/>
  <c r="B4" i="2"/>
  <c r="A4" i="2"/>
  <c r="H3" i="2"/>
  <c r="G3" i="2"/>
  <c r="F3" i="2"/>
  <c r="E3" i="2"/>
  <c r="D3" i="2"/>
  <c r="C3" i="2"/>
  <c r="B3" i="2"/>
  <c r="A3" i="2"/>
  <c r="I82" i="2"/>
  <c r="H82" i="2"/>
  <c r="G82" i="2"/>
  <c r="F82" i="2"/>
  <c r="E82" i="2"/>
  <c r="D82" i="2"/>
  <c r="C82" i="2"/>
  <c r="B82" i="2"/>
  <c r="A82" i="2"/>
  <c r="H81" i="2"/>
  <c r="G81" i="2"/>
  <c r="F81" i="2"/>
  <c r="E81" i="2"/>
  <c r="D81" i="2"/>
  <c r="C81" i="2"/>
  <c r="B81" i="2"/>
  <c r="A81" i="2"/>
  <c r="H52" i="2"/>
  <c r="G52" i="2"/>
  <c r="F52" i="2"/>
  <c r="E52" i="2"/>
  <c r="D52" i="2"/>
  <c r="C52" i="2"/>
  <c r="B52" i="2"/>
  <c r="A52" i="2"/>
  <c r="I5" i="2"/>
  <c r="H5" i="2"/>
  <c r="G5" i="2"/>
  <c r="F5" i="2"/>
  <c r="E5" i="2"/>
  <c r="D5" i="2"/>
  <c r="C5" i="2"/>
  <c r="B5" i="2"/>
  <c r="A5" i="2"/>
  <c r="H78" i="2"/>
  <c r="G78" i="2"/>
  <c r="F78" i="2"/>
  <c r="E78" i="2"/>
  <c r="D78" i="2"/>
  <c r="C78" i="2"/>
  <c r="B78" i="2"/>
  <c r="A78" i="2"/>
  <c r="H28" i="2"/>
  <c r="G28" i="2"/>
  <c r="F28" i="2"/>
  <c r="E28" i="2"/>
  <c r="D28" i="2"/>
  <c r="C28" i="2"/>
  <c r="B28" i="2"/>
  <c r="A28" i="2"/>
  <c r="I32" i="2"/>
  <c r="H32" i="2"/>
  <c r="G32" i="2"/>
  <c r="F32" i="2"/>
  <c r="E32" i="2"/>
  <c r="D32" i="2"/>
  <c r="C32" i="2"/>
  <c r="B32" i="2"/>
  <c r="A32" i="2"/>
  <c r="H55" i="2"/>
  <c r="G55" i="2"/>
  <c r="F55" i="2"/>
  <c r="E55" i="2"/>
  <c r="D55" i="2"/>
  <c r="C55" i="2"/>
  <c r="B55" i="2"/>
  <c r="A55" i="2"/>
  <c r="H19" i="2"/>
  <c r="G19" i="2"/>
  <c r="F19" i="2"/>
  <c r="E19" i="2"/>
  <c r="D19" i="2"/>
  <c r="C19" i="2"/>
  <c r="B19" i="2"/>
  <c r="A19" i="2"/>
  <c r="H56" i="2"/>
  <c r="G56" i="2"/>
  <c r="F56" i="2"/>
  <c r="E56" i="2"/>
  <c r="D56" i="2"/>
  <c r="C56" i="2"/>
  <c r="B56" i="2"/>
  <c r="A56" i="2"/>
  <c r="I68" i="2"/>
  <c r="H68" i="2"/>
  <c r="G68" i="2"/>
  <c r="F68" i="2"/>
  <c r="E68" i="2"/>
  <c r="D68" i="2"/>
  <c r="C68" i="2"/>
  <c r="B68" i="2"/>
  <c r="A68" i="2"/>
  <c r="H8" i="2"/>
  <c r="G8" i="2"/>
  <c r="F8" i="2"/>
  <c r="E8" i="2"/>
  <c r="D8" i="2"/>
  <c r="C8" i="2"/>
  <c r="B8" i="2"/>
  <c r="A8" i="2"/>
  <c r="H13" i="2"/>
  <c r="G13" i="2"/>
  <c r="F13" i="2"/>
  <c r="E13" i="2"/>
  <c r="D13" i="2"/>
  <c r="C13" i="2"/>
  <c r="B13" i="2"/>
  <c r="A13" i="2"/>
  <c r="H12" i="2"/>
  <c r="G12" i="2"/>
  <c r="F12" i="2"/>
  <c r="E12" i="2"/>
  <c r="D12" i="2"/>
  <c r="C12" i="2"/>
  <c r="B12" i="2"/>
  <c r="A12" i="2"/>
  <c r="I16" i="2"/>
  <c r="H16" i="2"/>
  <c r="G16" i="2"/>
  <c r="F16" i="2"/>
  <c r="E16" i="2"/>
  <c r="D16" i="2"/>
  <c r="C16" i="2"/>
  <c r="B16" i="2"/>
  <c r="A16" i="2"/>
  <c r="H15" i="2"/>
  <c r="G15" i="2"/>
  <c r="F15" i="2"/>
  <c r="E15" i="2"/>
  <c r="D15" i="2"/>
  <c r="C15" i="2"/>
  <c r="B15" i="2"/>
  <c r="A15" i="2"/>
  <c r="I80" i="2"/>
  <c r="H80" i="2"/>
  <c r="G80" i="2"/>
  <c r="F80" i="2"/>
  <c r="E80" i="2"/>
  <c r="D80" i="2"/>
  <c r="C80" i="2"/>
  <c r="B80" i="2"/>
  <c r="A80" i="2"/>
  <c r="I27" i="2"/>
  <c r="H27" i="2"/>
  <c r="G27" i="2"/>
  <c r="F27" i="2"/>
  <c r="E27" i="2"/>
  <c r="D27" i="2"/>
  <c r="C27" i="2"/>
  <c r="B27" i="2"/>
  <c r="A27" i="2"/>
  <c r="I21" i="2"/>
  <c r="H21" i="2"/>
  <c r="G21" i="2"/>
  <c r="F21" i="2"/>
  <c r="E21" i="2"/>
  <c r="D21" i="2"/>
  <c r="C21" i="2"/>
  <c r="B21" i="2"/>
  <c r="A21" i="2"/>
  <c r="I24" i="2"/>
  <c r="H24" i="2"/>
  <c r="G24" i="2"/>
  <c r="F24" i="2"/>
  <c r="E24" i="2"/>
  <c r="D24" i="2"/>
  <c r="C24" i="2"/>
  <c r="B24" i="2"/>
  <c r="A24" i="2"/>
  <c r="H11" i="2"/>
  <c r="G11" i="2"/>
  <c r="F11" i="2"/>
  <c r="E11" i="2"/>
  <c r="D11" i="2"/>
  <c r="C11" i="2"/>
  <c r="B11" i="2"/>
  <c r="A11" i="2"/>
  <c r="H7" i="2"/>
  <c r="G7" i="2"/>
  <c r="F7" i="2"/>
  <c r="E7" i="2"/>
  <c r="D7" i="2"/>
  <c r="C7" i="2"/>
  <c r="B7" i="2"/>
  <c r="A7" i="2"/>
  <c r="H72" i="2"/>
  <c r="G72" i="2"/>
  <c r="F72" i="2"/>
  <c r="E72" i="2"/>
  <c r="D72" i="2"/>
  <c r="C72" i="2"/>
  <c r="B72" i="2"/>
  <c r="A72" i="2"/>
  <c r="I30" i="2"/>
  <c r="H30" i="2"/>
  <c r="G30" i="2"/>
  <c r="F30" i="2"/>
  <c r="E30" i="2"/>
  <c r="D30" i="2"/>
  <c r="C30" i="2"/>
  <c r="B30" i="2"/>
  <c r="A30" i="2"/>
  <c r="G570" i="5" l="1"/>
  <c r="F570" i="5"/>
  <c r="E570" i="5"/>
  <c r="D570" i="5"/>
  <c r="C570" i="5"/>
  <c r="B570" i="5"/>
  <c r="A570" i="5"/>
  <c r="H569" i="5"/>
  <c r="G569" i="5"/>
  <c r="F569" i="5"/>
  <c r="E569" i="5"/>
  <c r="D569" i="5"/>
  <c r="C569" i="5"/>
  <c r="B569" i="5"/>
  <c r="A569" i="5"/>
  <c r="G568" i="5"/>
  <c r="F568" i="5"/>
  <c r="E568" i="5"/>
  <c r="D568" i="5"/>
  <c r="C568" i="5"/>
  <c r="B568" i="5"/>
  <c r="A568" i="5"/>
  <c r="G567" i="5"/>
  <c r="F567" i="5"/>
  <c r="E567" i="5"/>
  <c r="D567" i="5"/>
  <c r="C567" i="5"/>
  <c r="B567" i="5"/>
  <c r="A567" i="5"/>
  <c r="G566" i="5"/>
  <c r="F566" i="5"/>
  <c r="E566" i="5"/>
  <c r="D566" i="5"/>
  <c r="C566" i="5"/>
  <c r="B566" i="5"/>
  <c r="A566" i="5"/>
  <c r="H565" i="5"/>
  <c r="G565" i="5"/>
  <c r="F565" i="5"/>
  <c r="E565" i="5"/>
  <c r="D565" i="5"/>
  <c r="C565" i="5"/>
  <c r="B565" i="5"/>
  <c r="A565" i="5"/>
  <c r="G564" i="5"/>
  <c r="F564" i="5"/>
  <c r="E564" i="5"/>
  <c r="D564" i="5"/>
  <c r="C564" i="5"/>
  <c r="B564" i="5"/>
  <c r="A564" i="5"/>
  <c r="G563" i="5"/>
  <c r="F563" i="5"/>
  <c r="E563" i="5"/>
  <c r="D563" i="5"/>
  <c r="C563" i="5"/>
  <c r="B563" i="5"/>
  <c r="A563" i="5"/>
  <c r="G562" i="5"/>
  <c r="F562" i="5"/>
  <c r="E562" i="5"/>
  <c r="D562" i="5"/>
  <c r="C562" i="5"/>
  <c r="B562" i="5"/>
  <c r="A562" i="5"/>
  <c r="G561" i="5"/>
  <c r="F561" i="5"/>
  <c r="E561" i="5"/>
  <c r="D561" i="5"/>
  <c r="C561" i="5"/>
  <c r="B561" i="5"/>
  <c r="A561" i="5"/>
  <c r="G560" i="5"/>
  <c r="F560" i="5"/>
  <c r="E560" i="5"/>
  <c r="D560" i="5"/>
  <c r="C560" i="5"/>
  <c r="B560" i="5"/>
  <c r="A560" i="5"/>
  <c r="H559" i="5"/>
  <c r="G559" i="5"/>
  <c r="F559" i="5"/>
  <c r="E559" i="5"/>
  <c r="D559" i="5"/>
  <c r="C559" i="5"/>
  <c r="B559" i="5"/>
  <c r="A559" i="5"/>
  <c r="H558" i="5"/>
  <c r="G558" i="5"/>
  <c r="F558" i="5"/>
  <c r="E558" i="5"/>
  <c r="D558" i="5"/>
  <c r="C558" i="5"/>
  <c r="B558" i="5"/>
  <c r="A558" i="5"/>
  <c r="H557" i="5"/>
  <c r="G557" i="5"/>
  <c r="F557" i="5"/>
  <c r="E557" i="5"/>
  <c r="D557" i="5"/>
  <c r="C557" i="5"/>
  <c r="B557" i="5"/>
  <c r="A557" i="5"/>
  <c r="H556" i="5"/>
  <c r="G556" i="5"/>
  <c r="F556" i="5"/>
  <c r="E556" i="5"/>
  <c r="D556" i="5"/>
  <c r="C556" i="5"/>
  <c r="B556" i="5"/>
  <c r="A556" i="5"/>
  <c r="H555" i="5"/>
  <c r="G555" i="5"/>
  <c r="F555" i="5"/>
  <c r="E555" i="5"/>
  <c r="D555" i="5"/>
  <c r="C555" i="5"/>
  <c r="B555" i="5"/>
  <c r="A555" i="5"/>
  <c r="G554" i="5"/>
  <c r="F554" i="5"/>
  <c r="E554" i="5"/>
  <c r="D554" i="5"/>
  <c r="C554" i="5"/>
  <c r="B554" i="5"/>
  <c r="A554" i="5"/>
  <c r="H553" i="5"/>
  <c r="G553" i="5"/>
  <c r="F553" i="5"/>
  <c r="E553" i="5"/>
  <c r="D553" i="5"/>
  <c r="C553" i="5"/>
  <c r="B553" i="5"/>
  <c r="A553" i="5"/>
  <c r="G552" i="5"/>
  <c r="F552" i="5"/>
  <c r="E552" i="5"/>
  <c r="D552" i="5"/>
  <c r="C552" i="5"/>
  <c r="B552" i="5"/>
  <c r="A552" i="5"/>
  <c r="G551" i="5"/>
  <c r="F551" i="5"/>
  <c r="E551" i="5"/>
  <c r="D551" i="5"/>
  <c r="C551" i="5"/>
  <c r="B551" i="5"/>
  <c r="A551" i="5"/>
  <c r="G550" i="5"/>
  <c r="F550" i="5"/>
  <c r="E550" i="5"/>
  <c r="D550" i="5"/>
  <c r="C550" i="5"/>
  <c r="B550" i="5"/>
  <c r="A550" i="5"/>
  <c r="G549" i="5"/>
  <c r="F549" i="5"/>
  <c r="E549" i="5"/>
  <c r="D549" i="5"/>
  <c r="C549" i="5"/>
  <c r="B549" i="5"/>
  <c r="A549" i="5"/>
  <c r="G548" i="5"/>
  <c r="F548" i="5"/>
  <c r="E548" i="5"/>
  <c r="D548" i="5"/>
  <c r="C548" i="5"/>
  <c r="B548" i="5"/>
  <c r="A548" i="5"/>
  <c r="G547" i="5"/>
  <c r="F547" i="5"/>
  <c r="E547" i="5"/>
  <c r="D547" i="5"/>
  <c r="C547" i="5"/>
  <c r="B547" i="5"/>
  <c r="A547" i="5"/>
  <c r="G546" i="5"/>
  <c r="F546" i="5"/>
  <c r="E546" i="5"/>
  <c r="D546" i="5"/>
  <c r="C546" i="5"/>
  <c r="B546" i="5"/>
  <c r="A546" i="5"/>
  <c r="G545" i="5"/>
  <c r="F545" i="5"/>
  <c r="E545" i="5"/>
  <c r="D545" i="5"/>
  <c r="C545" i="5"/>
  <c r="B545" i="5"/>
  <c r="A545" i="5"/>
  <c r="G544" i="5"/>
  <c r="F544" i="5"/>
  <c r="E544" i="5"/>
  <c r="D544" i="5"/>
  <c r="C544" i="5"/>
  <c r="B544" i="5"/>
  <c r="A544" i="5"/>
  <c r="G543" i="5"/>
  <c r="F543" i="5"/>
  <c r="E543" i="5"/>
  <c r="D543" i="5"/>
  <c r="C543" i="5"/>
  <c r="B543" i="5"/>
  <c r="A543" i="5"/>
  <c r="G542" i="5"/>
  <c r="F542" i="5"/>
  <c r="E542" i="5"/>
  <c r="D542" i="5"/>
  <c r="C542" i="5"/>
  <c r="B542" i="5"/>
  <c r="A542" i="5"/>
  <c r="G541" i="5"/>
  <c r="F541" i="5"/>
  <c r="E541" i="5"/>
  <c r="D541" i="5"/>
  <c r="C541" i="5"/>
  <c r="B541" i="5"/>
  <c r="A541" i="5"/>
  <c r="G540" i="5"/>
  <c r="F540" i="5"/>
  <c r="E540" i="5"/>
  <c r="D540" i="5"/>
  <c r="C540" i="5"/>
  <c r="B540" i="5"/>
  <c r="A540" i="5"/>
  <c r="G539" i="5"/>
  <c r="F539" i="5"/>
  <c r="E539" i="5"/>
  <c r="D539" i="5"/>
  <c r="C539" i="5"/>
  <c r="B539" i="5"/>
  <c r="A539" i="5"/>
  <c r="G538" i="5"/>
  <c r="F538" i="5"/>
  <c r="E538" i="5"/>
  <c r="D538" i="5"/>
  <c r="C538" i="5"/>
  <c r="B538" i="5"/>
  <c r="A538" i="5"/>
  <c r="G537" i="5"/>
  <c r="F537" i="5"/>
  <c r="E537" i="5"/>
  <c r="D537" i="5"/>
  <c r="C537" i="5"/>
  <c r="B537" i="5"/>
  <c r="A537" i="5"/>
  <c r="G536" i="5"/>
  <c r="F536" i="5"/>
  <c r="E536" i="5"/>
  <c r="D536" i="5"/>
  <c r="C536" i="5"/>
  <c r="B536" i="5"/>
  <c r="A536" i="5"/>
  <c r="G535" i="5"/>
  <c r="F535" i="5"/>
  <c r="E535" i="5"/>
  <c r="D535" i="5"/>
  <c r="C535" i="5"/>
  <c r="B535" i="5"/>
  <c r="A535" i="5"/>
  <c r="G534" i="5"/>
  <c r="F534" i="5"/>
  <c r="E534" i="5"/>
  <c r="D534" i="5"/>
  <c r="C534" i="5"/>
  <c r="B534" i="5"/>
  <c r="A534" i="5"/>
  <c r="G533" i="5"/>
  <c r="F533" i="5"/>
  <c r="E533" i="5"/>
  <c r="D533" i="5"/>
  <c r="C533" i="5"/>
  <c r="B533" i="5"/>
  <c r="A533" i="5"/>
  <c r="G532" i="5"/>
  <c r="F532" i="5"/>
  <c r="E532" i="5"/>
  <c r="D532" i="5"/>
  <c r="C532" i="5"/>
  <c r="B532" i="5"/>
  <c r="A532" i="5"/>
  <c r="G531" i="5"/>
  <c r="F531" i="5"/>
  <c r="E531" i="5"/>
  <c r="D531" i="5"/>
  <c r="C531" i="5"/>
  <c r="B531" i="5"/>
  <c r="A531" i="5"/>
  <c r="G530" i="5"/>
  <c r="F530" i="5"/>
  <c r="E530" i="5"/>
  <c r="D530" i="5"/>
  <c r="C530" i="5"/>
  <c r="B530" i="5"/>
  <c r="A530" i="5"/>
  <c r="G529" i="5"/>
  <c r="F529" i="5"/>
  <c r="E529" i="5"/>
  <c r="D529" i="5"/>
  <c r="C529" i="5"/>
  <c r="B529" i="5"/>
  <c r="A529" i="5"/>
  <c r="G528" i="5"/>
  <c r="F528" i="5"/>
  <c r="E528" i="5"/>
  <c r="D528" i="5"/>
  <c r="C528" i="5"/>
  <c r="B528" i="5"/>
  <c r="A528" i="5"/>
  <c r="H527" i="5"/>
  <c r="G527" i="5"/>
  <c r="F527" i="5"/>
  <c r="E527" i="5"/>
  <c r="D527" i="5"/>
  <c r="C527" i="5"/>
  <c r="B527" i="5"/>
  <c r="A527" i="5"/>
  <c r="G526" i="5"/>
  <c r="F526" i="5"/>
  <c r="E526" i="5"/>
  <c r="D526" i="5"/>
  <c r="C526" i="5"/>
  <c r="B526" i="5"/>
  <c r="A526" i="5"/>
  <c r="G525" i="5"/>
  <c r="F525" i="5"/>
  <c r="E525" i="5"/>
  <c r="D525" i="5"/>
  <c r="C525" i="5"/>
  <c r="B525" i="5"/>
  <c r="A525" i="5"/>
  <c r="G524" i="5"/>
  <c r="F524" i="5"/>
  <c r="E524" i="5"/>
  <c r="D524" i="5"/>
  <c r="C524" i="5"/>
  <c r="B524" i="5"/>
  <c r="A524" i="5"/>
  <c r="G523" i="5"/>
  <c r="F523" i="5"/>
  <c r="E523" i="5"/>
  <c r="D523" i="5"/>
  <c r="C523" i="5"/>
  <c r="B523" i="5"/>
  <c r="A523" i="5"/>
  <c r="H522" i="5"/>
  <c r="G522" i="5"/>
  <c r="F522" i="5"/>
  <c r="E522" i="5"/>
  <c r="D522" i="5"/>
  <c r="C522" i="5"/>
  <c r="B522" i="5"/>
  <c r="A522" i="5"/>
  <c r="G521" i="5"/>
  <c r="F521" i="5"/>
  <c r="E521" i="5"/>
  <c r="D521" i="5"/>
  <c r="C521" i="5"/>
  <c r="B521" i="5"/>
  <c r="A521" i="5"/>
  <c r="H520" i="5"/>
  <c r="G520" i="5"/>
  <c r="F520" i="5"/>
  <c r="E520" i="5"/>
  <c r="D520" i="5"/>
  <c r="C520" i="5"/>
  <c r="B520" i="5"/>
  <c r="A520" i="5"/>
  <c r="H519" i="5"/>
  <c r="G519" i="5"/>
  <c r="F519" i="5"/>
  <c r="E519" i="5"/>
  <c r="D519" i="5"/>
  <c r="C519" i="5"/>
  <c r="B519" i="5"/>
  <c r="A519" i="5"/>
  <c r="G518" i="5"/>
  <c r="F518" i="5"/>
  <c r="E518" i="5"/>
  <c r="D518" i="5"/>
  <c r="C518" i="5"/>
  <c r="B518" i="5"/>
  <c r="A518" i="5"/>
  <c r="H517" i="5"/>
  <c r="G517" i="5"/>
  <c r="F517" i="5"/>
  <c r="E517" i="5"/>
  <c r="D517" i="5"/>
  <c r="C517" i="5"/>
  <c r="B517" i="5"/>
  <c r="A517" i="5"/>
  <c r="H516" i="5"/>
  <c r="G516" i="5"/>
  <c r="F516" i="5"/>
  <c r="E516" i="5"/>
  <c r="D516" i="5"/>
  <c r="C516" i="5"/>
  <c r="B516" i="5"/>
  <c r="A516" i="5"/>
  <c r="H515" i="5"/>
  <c r="G515" i="5"/>
  <c r="F515" i="5"/>
  <c r="E515" i="5"/>
  <c r="D515" i="5"/>
  <c r="C515" i="5"/>
  <c r="B515" i="5"/>
  <c r="A515" i="5"/>
  <c r="H514" i="5"/>
  <c r="G514" i="5"/>
  <c r="F514" i="5"/>
  <c r="E514" i="5"/>
  <c r="D514" i="5"/>
  <c r="C514" i="5"/>
  <c r="B514" i="5"/>
  <c r="A514" i="5"/>
  <c r="H513" i="5"/>
  <c r="G513" i="5"/>
  <c r="F513" i="5"/>
  <c r="E513" i="5"/>
  <c r="D513" i="5"/>
  <c r="C513" i="5"/>
  <c r="B513" i="5"/>
  <c r="A513" i="5"/>
  <c r="G512" i="5"/>
  <c r="F512" i="5"/>
  <c r="E512" i="5"/>
  <c r="D512" i="5"/>
  <c r="C512" i="5"/>
  <c r="B512" i="5"/>
  <c r="A512" i="5"/>
  <c r="H511" i="5"/>
  <c r="G511" i="5"/>
  <c r="F511" i="5"/>
  <c r="E511" i="5"/>
  <c r="D511" i="5"/>
  <c r="C511" i="5"/>
  <c r="B511" i="5"/>
  <c r="A511" i="5"/>
  <c r="G510" i="5"/>
  <c r="F510" i="5"/>
  <c r="E510" i="5"/>
  <c r="D510" i="5"/>
  <c r="C510" i="5"/>
  <c r="B510" i="5"/>
  <c r="A510" i="5"/>
  <c r="H509" i="5"/>
  <c r="G509" i="5"/>
  <c r="F509" i="5"/>
  <c r="E509" i="5"/>
  <c r="D509" i="5"/>
  <c r="C509" i="5"/>
  <c r="B509" i="5"/>
  <c r="A509" i="5"/>
  <c r="H508" i="5"/>
  <c r="G508" i="5"/>
  <c r="F508" i="5"/>
  <c r="E508" i="5"/>
  <c r="D508" i="5"/>
  <c r="C508" i="5"/>
  <c r="B508" i="5"/>
  <c r="A508" i="5"/>
  <c r="G507" i="5"/>
  <c r="F507" i="5"/>
  <c r="E507" i="5"/>
  <c r="D507" i="5"/>
  <c r="C507" i="5"/>
  <c r="B507" i="5"/>
  <c r="A507" i="5"/>
  <c r="H506" i="5"/>
  <c r="G506" i="5"/>
  <c r="F506" i="5"/>
  <c r="E506" i="5"/>
  <c r="D506" i="5"/>
  <c r="C506" i="5"/>
  <c r="B506" i="5"/>
  <c r="A506" i="5"/>
  <c r="G505" i="5"/>
  <c r="F505" i="5"/>
  <c r="E505" i="5"/>
  <c r="D505" i="5"/>
  <c r="C505" i="5"/>
  <c r="B505" i="5"/>
  <c r="A505" i="5"/>
  <c r="G504" i="5"/>
  <c r="F504" i="5"/>
  <c r="E504" i="5"/>
  <c r="D504" i="5"/>
  <c r="C504" i="5"/>
  <c r="B504" i="5"/>
  <c r="A504" i="5"/>
  <c r="G503" i="5"/>
  <c r="F503" i="5"/>
  <c r="E503" i="5"/>
  <c r="D503" i="5"/>
  <c r="C503" i="5"/>
  <c r="B503" i="5"/>
  <c r="A503" i="5"/>
  <c r="G502" i="5"/>
  <c r="F502" i="5"/>
  <c r="E502" i="5"/>
  <c r="D502" i="5"/>
  <c r="C502" i="5"/>
  <c r="B502" i="5"/>
  <c r="A502" i="5"/>
  <c r="G501" i="5"/>
  <c r="F501" i="5"/>
  <c r="E501" i="5"/>
  <c r="D501" i="5"/>
  <c r="C501" i="5"/>
  <c r="B501" i="5"/>
  <c r="A501" i="5"/>
  <c r="G500" i="5"/>
  <c r="F500" i="5"/>
  <c r="E500" i="5"/>
  <c r="D500" i="5"/>
  <c r="C500" i="5"/>
  <c r="B500" i="5"/>
  <c r="A500" i="5"/>
  <c r="G499" i="5"/>
  <c r="F499" i="5"/>
  <c r="E499" i="5"/>
  <c r="D499" i="5"/>
  <c r="C499" i="5"/>
  <c r="B499" i="5"/>
  <c r="A499" i="5"/>
  <c r="G498" i="5"/>
  <c r="F498" i="5"/>
  <c r="E498" i="5"/>
  <c r="D498" i="5"/>
  <c r="C498" i="5"/>
  <c r="B498" i="5"/>
  <c r="A498" i="5"/>
  <c r="G497" i="5"/>
  <c r="F497" i="5"/>
  <c r="E497" i="5"/>
  <c r="D497" i="5"/>
  <c r="C497" i="5"/>
  <c r="B497" i="5"/>
  <c r="A497" i="5"/>
  <c r="G496" i="5"/>
  <c r="F496" i="5"/>
  <c r="E496" i="5"/>
  <c r="D496" i="5"/>
  <c r="C496" i="5"/>
  <c r="B496" i="5"/>
  <c r="A496" i="5"/>
  <c r="G495" i="5"/>
  <c r="F495" i="5"/>
  <c r="E495" i="5"/>
  <c r="D495" i="5"/>
  <c r="C495" i="5"/>
  <c r="B495" i="5"/>
  <c r="A495" i="5"/>
  <c r="G494" i="5"/>
  <c r="F494" i="5"/>
  <c r="E494" i="5"/>
  <c r="D494" i="5"/>
  <c r="C494" i="5"/>
  <c r="B494" i="5"/>
  <c r="A494" i="5"/>
  <c r="G493" i="5"/>
  <c r="F493" i="5"/>
  <c r="E493" i="5"/>
  <c r="D493" i="5"/>
  <c r="C493" i="5"/>
  <c r="B493" i="5"/>
  <c r="A493" i="5"/>
  <c r="G492" i="5"/>
  <c r="F492" i="5"/>
  <c r="E492" i="5"/>
  <c r="D492" i="5"/>
  <c r="C492" i="5"/>
  <c r="B492" i="5"/>
  <c r="A492" i="5"/>
  <c r="G491" i="5"/>
  <c r="F491" i="5"/>
  <c r="E491" i="5"/>
  <c r="D491" i="5"/>
  <c r="C491" i="5"/>
  <c r="B491" i="5"/>
  <c r="A491" i="5"/>
  <c r="G490" i="5"/>
  <c r="F490" i="5"/>
  <c r="E490" i="5"/>
  <c r="D490" i="5"/>
  <c r="C490" i="5"/>
  <c r="B490" i="5"/>
  <c r="A490" i="5"/>
  <c r="G489" i="5"/>
  <c r="F489" i="5"/>
  <c r="E489" i="5"/>
  <c r="D489" i="5"/>
  <c r="C489" i="5"/>
  <c r="B489" i="5"/>
  <c r="A489" i="5"/>
  <c r="G488" i="5"/>
  <c r="F488" i="5"/>
  <c r="E488" i="5"/>
  <c r="D488" i="5"/>
  <c r="C488" i="5"/>
  <c r="B488" i="5"/>
  <c r="A488" i="5"/>
  <c r="H487" i="5"/>
  <c r="G487" i="5"/>
  <c r="F487" i="5"/>
  <c r="E487" i="5"/>
  <c r="D487" i="5"/>
  <c r="C487" i="5"/>
  <c r="B487" i="5"/>
  <c r="A487" i="5"/>
  <c r="G486" i="5"/>
  <c r="F486" i="5"/>
  <c r="E486" i="5"/>
  <c r="D486" i="5"/>
  <c r="C486" i="5"/>
  <c r="B486" i="5"/>
  <c r="A486" i="5"/>
  <c r="G485" i="5"/>
  <c r="F485" i="5"/>
  <c r="E485" i="5"/>
  <c r="D485" i="5"/>
  <c r="C485" i="5"/>
  <c r="B485" i="5"/>
  <c r="A485" i="5"/>
  <c r="H484" i="5"/>
  <c r="G484" i="5"/>
  <c r="F484" i="5"/>
  <c r="E484" i="5"/>
  <c r="D484" i="5"/>
  <c r="C484" i="5"/>
  <c r="B484" i="5"/>
  <c r="A484" i="5"/>
  <c r="H483" i="5"/>
  <c r="G483" i="5"/>
  <c r="F483" i="5"/>
  <c r="E483" i="5"/>
  <c r="D483" i="5"/>
  <c r="C483" i="5"/>
  <c r="B483" i="5"/>
  <c r="A483" i="5"/>
  <c r="H482" i="5"/>
  <c r="G482" i="5"/>
  <c r="F482" i="5"/>
  <c r="E482" i="5"/>
  <c r="D482" i="5"/>
  <c r="C482" i="5"/>
  <c r="B482" i="5"/>
  <c r="A482" i="5"/>
  <c r="H481" i="5"/>
  <c r="G481" i="5"/>
  <c r="F481" i="5"/>
  <c r="E481" i="5"/>
  <c r="D481" i="5"/>
  <c r="C481" i="5"/>
  <c r="B481" i="5"/>
  <c r="A481" i="5"/>
  <c r="H480" i="5"/>
  <c r="G480" i="5"/>
  <c r="F480" i="5"/>
  <c r="E480" i="5"/>
  <c r="D480" i="5"/>
  <c r="C480" i="5"/>
  <c r="B480" i="5"/>
  <c r="A480" i="5"/>
  <c r="G479" i="5"/>
  <c r="F479" i="5"/>
  <c r="E479" i="5"/>
  <c r="D479" i="5"/>
  <c r="C479" i="5"/>
  <c r="B479" i="5"/>
  <c r="A479" i="5"/>
  <c r="G478" i="5"/>
  <c r="F478" i="5"/>
  <c r="E478" i="5"/>
  <c r="D478" i="5"/>
  <c r="C478" i="5"/>
  <c r="B478" i="5"/>
  <c r="A478" i="5"/>
  <c r="H477" i="5"/>
  <c r="G477" i="5"/>
  <c r="F477" i="5"/>
  <c r="E477" i="5"/>
  <c r="D477" i="5"/>
  <c r="C477" i="5"/>
  <c r="B477" i="5"/>
  <c r="A477" i="5"/>
  <c r="G476" i="5"/>
  <c r="F476" i="5"/>
  <c r="E476" i="5"/>
  <c r="D476" i="5"/>
  <c r="C476" i="5"/>
  <c r="B476" i="5"/>
  <c r="A476" i="5"/>
  <c r="H475" i="5"/>
  <c r="G475" i="5"/>
  <c r="F475" i="5"/>
  <c r="E475" i="5"/>
  <c r="D475" i="5"/>
  <c r="C475" i="5"/>
  <c r="B475" i="5"/>
  <c r="A475" i="5"/>
  <c r="H474" i="5"/>
  <c r="G474" i="5"/>
  <c r="F474" i="5"/>
  <c r="E474" i="5"/>
  <c r="D474" i="5"/>
  <c r="C474" i="5"/>
  <c r="B474" i="5"/>
  <c r="A474" i="5"/>
  <c r="H473" i="5"/>
  <c r="G473" i="5"/>
  <c r="F473" i="5"/>
  <c r="E473" i="5"/>
  <c r="D473" i="5"/>
  <c r="C473" i="5"/>
  <c r="B473" i="5"/>
  <c r="A473" i="5"/>
  <c r="H472" i="5"/>
  <c r="G472" i="5"/>
  <c r="F472" i="5"/>
  <c r="E472" i="5"/>
  <c r="D472" i="5"/>
  <c r="C472" i="5"/>
  <c r="B472" i="5"/>
  <c r="A472" i="5"/>
  <c r="G471" i="5"/>
  <c r="F471" i="5"/>
  <c r="E471" i="5"/>
  <c r="D471" i="5"/>
  <c r="C471" i="5"/>
  <c r="B471" i="5"/>
  <c r="A471" i="5"/>
  <c r="H470" i="5"/>
  <c r="G470" i="5"/>
  <c r="F470" i="5"/>
  <c r="E470" i="5"/>
  <c r="D470" i="5"/>
  <c r="C470" i="5"/>
  <c r="B470" i="5"/>
  <c r="A470" i="5"/>
  <c r="H469" i="5"/>
  <c r="G469" i="5"/>
  <c r="F469" i="5"/>
  <c r="E469" i="5"/>
  <c r="D469" i="5"/>
  <c r="C469" i="5"/>
  <c r="B469" i="5"/>
  <c r="A469" i="5"/>
  <c r="G468" i="5"/>
  <c r="F468" i="5"/>
  <c r="E468" i="5"/>
  <c r="D468" i="5"/>
  <c r="C468" i="5"/>
  <c r="B468" i="5"/>
  <c r="A468" i="5"/>
  <c r="G467" i="5"/>
  <c r="F467" i="5"/>
  <c r="E467" i="5"/>
  <c r="D467" i="5"/>
  <c r="C467" i="5"/>
  <c r="B467" i="5"/>
  <c r="A467" i="5"/>
  <c r="G466" i="5"/>
  <c r="F466" i="5"/>
  <c r="E466" i="5"/>
  <c r="D466" i="5"/>
  <c r="C466" i="5"/>
  <c r="B466" i="5"/>
  <c r="A466" i="5"/>
  <c r="G465" i="5"/>
  <c r="F465" i="5"/>
  <c r="E465" i="5"/>
  <c r="D465" i="5"/>
  <c r="C465" i="5"/>
  <c r="B465" i="5"/>
  <c r="A465" i="5"/>
  <c r="H464" i="5"/>
  <c r="G464" i="5"/>
  <c r="F464" i="5"/>
  <c r="E464" i="5"/>
  <c r="D464" i="5"/>
  <c r="C464" i="5"/>
  <c r="B464" i="5"/>
  <c r="A464" i="5"/>
  <c r="H463" i="5"/>
  <c r="G463" i="5"/>
  <c r="F463" i="5"/>
  <c r="E463" i="5"/>
  <c r="D463" i="5"/>
  <c r="C463" i="5"/>
  <c r="B463" i="5"/>
  <c r="A463" i="5"/>
  <c r="G462" i="5"/>
  <c r="F462" i="5"/>
  <c r="E462" i="5"/>
  <c r="D462" i="5"/>
  <c r="C462" i="5"/>
  <c r="B462" i="5"/>
  <c r="A462" i="5"/>
  <c r="G461" i="5"/>
  <c r="F461" i="5"/>
  <c r="E461" i="5"/>
  <c r="D461" i="5"/>
  <c r="C461" i="5"/>
  <c r="B461" i="5"/>
  <c r="A461" i="5"/>
  <c r="H460" i="5"/>
  <c r="G460" i="5"/>
  <c r="F460" i="5"/>
  <c r="E460" i="5"/>
  <c r="D460" i="5"/>
  <c r="C460" i="5"/>
  <c r="B460" i="5"/>
  <c r="A460" i="5"/>
  <c r="H459" i="5"/>
  <c r="G459" i="5"/>
  <c r="F459" i="5"/>
  <c r="E459" i="5"/>
  <c r="D459" i="5"/>
  <c r="C459" i="5"/>
  <c r="B459" i="5"/>
  <c r="A459" i="5"/>
  <c r="H458" i="5"/>
  <c r="G458" i="5"/>
  <c r="F458" i="5"/>
  <c r="E458" i="5"/>
  <c r="D458" i="5"/>
  <c r="C458" i="5"/>
  <c r="B458" i="5"/>
  <c r="A458" i="5"/>
  <c r="H457" i="5"/>
  <c r="G457" i="5"/>
  <c r="F457" i="5"/>
  <c r="E457" i="5"/>
  <c r="D457" i="5"/>
  <c r="C457" i="5"/>
  <c r="B457" i="5"/>
  <c r="A457" i="5"/>
  <c r="H456" i="5"/>
  <c r="G456" i="5"/>
  <c r="F456" i="5"/>
  <c r="E456" i="5"/>
  <c r="D456" i="5"/>
  <c r="C456" i="5"/>
  <c r="B456" i="5"/>
  <c r="A456" i="5"/>
  <c r="H455" i="5"/>
  <c r="G455" i="5"/>
  <c r="F455" i="5"/>
  <c r="E455" i="5"/>
  <c r="D455" i="5"/>
  <c r="C455" i="5"/>
  <c r="B455" i="5"/>
  <c r="A455" i="5"/>
  <c r="H454" i="5"/>
  <c r="G454" i="5"/>
  <c r="F454" i="5"/>
  <c r="E454" i="5"/>
  <c r="D454" i="5"/>
  <c r="C454" i="5"/>
  <c r="B454" i="5"/>
  <c r="A454" i="5"/>
  <c r="H453" i="5"/>
  <c r="G453" i="5"/>
  <c r="F453" i="5"/>
  <c r="E453" i="5"/>
  <c r="D453" i="5"/>
  <c r="C453" i="5"/>
  <c r="B453" i="5"/>
  <c r="A453" i="5"/>
  <c r="H452" i="5"/>
  <c r="G452" i="5"/>
  <c r="F452" i="5"/>
  <c r="E452" i="5"/>
  <c r="D452" i="5"/>
  <c r="C452" i="5"/>
  <c r="B452" i="5"/>
  <c r="A452" i="5"/>
  <c r="G451" i="5"/>
  <c r="F451" i="5"/>
  <c r="E451" i="5"/>
  <c r="D451" i="5"/>
  <c r="C451" i="5"/>
  <c r="B451" i="5"/>
  <c r="A451" i="5"/>
  <c r="H450" i="5"/>
  <c r="G450" i="5"/>
  <c r="F450" i="5"/>
  <c r="E450" i="5"/>
  <c r="D450" i="5"/>
  <c r="C450" i="5"/>
  <c r="B450" i="5"/>
  <c r="A450" i="5"/>
  <c r="H449" i="5"/>
  <c r="G449" i="5"/>
  <c r="F449" i="5"/>
  <c r="E449" i="5"/>
  <c r="D449" i="5"/>
  <c r="C449" i="5"/>
  <c r="B449" i="5"/>
  <c r="A449" i="5"/>
  <c r="H448" i="5"/>
  <c r="G448" i="5"/>
  <c r="F448" i="5"/>
  <c r="E448" i="5"/>
  <c r="D448" i="5"/>
  <c r="C448" i="5"/>
  <c r="B448" i="5"/>
  <c r="A448" i="5"/>
  <c r="H447" i="5"/>
  <c r="G447" i="5"/>
  <c r="F447" i="5"/>
  <c r="E447" i="5"/>
  <c r="D447" i="5"/>
  <c r="C447" i="5"/>
  <c r="B447" i="5"/>
  <c r="A447" i="5"/>
  <c r="H446" i="5"/>
  <c r="G446" i="5"/>
  <c r="F446" i="5"/>
  <c r="E446" i="5"/>
  <c r="D446" i="5"/>
  <c r="C446" i="5"/>
  <c r="B446" i="5"/>
  <c r="A446" i="5"/>
  <c r="G445" i="5"/>
  <c r="F445" i="5"/>
  <c r="E445" i="5"/>
  <c r="D445" i="5"/>
  <c r="C445" i="5"/>
  <c r="B445" i="5"/>
  <c r="A445" i="5"/>
  <c r="H444" i="5"/>
  <c r="G444" i="5"/>
  <c r="F444" i="5"/>
  <c r="E444" i="5"/>
  <c r="D444" i="5"/>
  <c r="C444" i="5"/>
  <c r="B444" i="5"/>
  <c r="A444" i="5"/>
  <c r="G443" i="5"/>
  <c r="F443" i="5"/>
  <c r="E443" i="5"/>
  <c r="D443" i="5"/>
  <c r="C443" i="5"/>
  <c r="B443" i="5"/>
  <c r="A443" i="5"/>
  <c r="G442" i="5"/>
  <c r="F442" i="5"/>
  <c r="E442" i="5"/>
  <c r="D442" i="5"/>
  <c r="C442" i="5"/>
  <c r="B442" i="5"/>
  <c r="A442" i="5"/>
  <c r="H441" i="5"/>
  <c r="G441" i="5"/>
  <c r="F441" i="5"/>
  <c r="E441" i="5"/>
  <c r="D441" i="5"/>
  <c r="C441" i="5"/>
  <c r="B441" i="5"/>
  <c r="A441" i="5"/>
  <c r="H440" i="5"/>
  <c r="G440" i="5"/>
  <c r="F440" i="5"/>
  <c r="E440" i="5"/>
  <c r="D440" i="5"/>
  <c r="C440" i="5"/>
  <c r="B440" i="5"/>
  <c r="A440" i="5"/>
  <c r="H439" i="5"/>
  <c r="G439" i="5"/>
  <c r="F439" i="5"/>
  <c r="E439" i="5"/>
  <c r="D439" i="5"/>
  <c r="C439" i="5"/>
  <c r="B439" i="5"/>
  <c r="A439" i="5"/>
  <c r="H438" i="5"/>
  <c r="G438" i="5"/>
  <c r="F438" i="5"/>
  <c r="E438" i="5"/>
  <c r="D438" i="5"/>
  <c r="C438" i="5"/>
  <c r="B438" i="5"/>
  <c r="A438" i="5"/>
  <c r="H437" i="5"/>
  <c r="G437" i="5"/>
  <c r="F437" i="5"/>
  <c r="E437" i="5"/>
  <c r="D437" i="5"/>
  <c r="C437" i="5"/>
  <c r="B437" i="5"/>
  <c r="A437" i="5"/>
  <c r="H436" i="5"/>
  <c r="G436" i="5"/>
  <c r="F436" i="5"/>
  <c r="E436" i="5"/>
  <c r="D436" i="5"/>
  <c r="C436" i="5"/>
  <c r="B436" i="5"/>
  <c r="A436" i="5"/>
  <c r="G435" i="5"/>
  <c r="F435" i="5"/>
  <c r="E435" i="5"/>
  <c r="D435" i="5"/>
  <c r="C435" i="5"/>
  <c r="B435" i="5"/>
  <c r="A435" i="5"/>
  <c r="G434" i="5"/>
  <c r="F434" i="5"/>
  <c r="E434" i="5"/>
  <c r="D434" i="5"/>
  <c r="C434" i="5"/>
  <c r="B434" i="5"/>
  <c r="A434" i="5"/>
  <c r="H433" i="5"/>
  <c r="G433" i="5"/>
  <c r="F433" i="5"/>
  <c r="E433" i="5"/>
  <c r="D433" i="5"/>
  <c r="C433" i="5"/>
  <c r="B433" i="5"/>
  <c r="A433" i="5"/>
  <c r="G432" i="5"/>
  <c r="F432" i="5"/>
  <c r="E432" i="5"/>
  <c r="D432" i="5"/>
  <c r="C432" i="5"/>
  <c r="B432" i="5"/>
  <c r="A432" i="5"/>
  <c r="G431" i="5"/>
  <c r="F431" i="5"/>
  <c r="E431" i="5"/>
  <c r="D431" i="5"/>
  <c r="C431" i="5"/>
  <c r="B431" i="5"/>
  <c r="A431" i="5"/>
  <c r="G430" i="5"/>
  <c r="F430" i="5"/>
  <c r="E430" i="5"/>
  <c r="D430" i="5"/>
  <c r="C430" i="5"/>
  <c r="B430" i="5"/>
  <c r="A430" i="5"/>
  <c r="G429" i="5"/>
  <c r="F429" i="5"/>
  <c r="E429" i="5"/>
  <c r="D429" i="5"/>
  <c r="C429" i="5"/>
  <c r="B429" i="5"/>
  <c r="A429" i="5"/>
  <c r="H428" i="5"/>
  <c r="G428" i="5"/>
  <c r="F428" i="5"/>
  <c r="E428" i="5"/>
  <c r="D428" i="5"/>
  <c r="C428" i="5"/>
  <c r="B428" i="5"/>
  <c r="A428" i="5"/>
  <c r="H427" i="5"/>
  <c r="G427" i="5"/>
  <c r="F427" i="5"/>
  <c r="E427" i="5"/>
  <c r="D427" i="5"/>
  <c r="C427" i="5"/>
  <c r="B427" i="5"/>
  <c r="A427" i="5"/>
  <c r="H426" i="5"/>
  <c r="G426" i="5"/>
  <c r="F426" i="5"/>
  <c r="E426" i="5"/>
  <c r="D426" i="5"/>
  <c r="C426" i="5"/>
  <c r="B426" i="5"/>
  <c r="A426" i="5"/>
  <c r="H425" i="5"/>
  <c r="G425" i="5"/>
  <c r="F425" i="5"/>
  <c r="E425" i="5"/>
  <c r="D425" i="5"/>
  <c r="C425" i="5"/>
  <c r="B425" i="5"/>
  <c r="A425" i="5"/>
  <c r="G424" i="5"/>
  <c r="F424" i="5"/>
  <c r="E424" i="5"/>
  <c r="D424" i="5"/>
  <c r="C424" i="5"/>
  <c r="B424" i="5"/>
  <c r="A424" i="5"/>
  <c r="G423" i="5"/>
  <c r="F423" i="5"/>
  <c r="E423" i="5"/>
  <c r="D423" i="5"/>
  <c r="C423" i="5"/>
  <c r="B423" i="5"/>
  <c r="A423" i="5"/>
  <c r="H422" i="5"/>
  <c r="G422" i="5"/>
  <c r="F422" i="5"/>
  <c r="E422" i="5"/>
  <c r="D422" i="5"/>
  <c r="C422" i="5"/>
  <c r="B422" i="5"/>
  <c r="A422" i="5"/>
  <c r="G421" i="5"/>
  <c r="F421" i="5"/>
  <c r="E421" i="5"/>
  <c r="D421" i="5"/>
  <c r="C421" i="5"/>
  <c r="B421" i="5"/>
  <c r="A421" i="5"/>
  <c r="G420" i="5"/>
  <c r="F420" i="5"/>
  <c r="E420" i="5"/>
  <c r="D420" i="5"/>
  <c r="C420" i="5"/>
  <c r="B420" i="5"/>
  <c r="A420" i="5"/>
  <c r="H419" i="5"/>
  <c r="G419" i="5"/>
  <c r="F419" i="5"/>
  <c r="E419" i="5"/>
  <c r="D419" i="5"/>
  <c r="C419" i="5"/>
  <c r="B419" i="5"/>
  <c r="A419" i="5"/>
  <c r="G418" i="5"/>
  <c r="F418" i="5"/>
  <c r="E418" i="5"/>
  <c r="D418" i="5"/>
  <c r="C418" i="5"/>
  <c r="B418" i="5"/>
  <c r="A418" i="5"/>
  <c r="G417" i="5"/>
  <c r="F417" i="5"/>
  <c r="E417" i="5"/>
  <c r="D417" i="5"/>
  <c r="C417" i="5"/>
  <c r="B417" i="5"/>
  <c r="A417" i="5"/>
  <c r="G416" i="5"/>
  <c r="F416" i="5"/>
  <c r="E416" i="5"/>
  <c r="D416" i="5"/>
  <c r="C416" i="5"/>
  <c r="B416" i="5"/>
  <c r="A416" i="5"/>
  <c r="G415" i="5"/>
  <c r="F415" i="5"/>
  <c r="E415" i="5"/>
  <c r="D415" i="5"/>
  <c r="C415" i="5"/>
  <c r="B415" i="5"/>
  <c r="A415" i="5"/>
  <c r="H414" i="5"/>
  <c r="G414" i="5"/>
  <c r="F414" i="5"/>
  <c r="E414" i="5"/>
  <c r="D414" i="5"/>
  <c r="C414" i="5"/>
  <c r="B414" i="5"/>
  <c r="A414" i="5"/>
  <c r="G413" i="5"/>
  <c r="F413" i="5"/>
  <c r="E413" i="5"/>
  <c r="D413" i="5"/>
  <c r="C413" i="5"/>
  <c r="B413" i="5"/>
  <c r="A413" i="5"/>
  <c r="H412" i="5"/>
  <c r="G412" i="5"/>
  <c r="F412" i="5"/>
  <c r="E412" i="5"/>
  <c r="D412" i="5"/>
  <c r="C412" i="5"/>
  <c r="B412" i="5"/>
  <c r="A412" i="5"/>
  <c r="G411" i="5"/>
  <c r="F411" i="5"/>
  <c r="E411" i="5"/>
  <c r="D411" i="5"/>
  <c r="C411" i="5"/>
  <c r="B411" i="5"/>
  <c r="A411" i="5"/>
  <c r="H410" i="5"/>
  <c r="G410" i="5"/>
  <c r="F410" i="5"/>
  <c r="E410" i="5"/>
  <c r="D410" i="5"/>
  <c r="C410" i="5"/>
  <c r="B410" i="5"/>
  <c r="A410" i="5"/>
  <c r="H409" i="5"/>
  <c r="G409" i="5"/>
  <c r="F409" i="5"/>
  <c r="E409" i="5"/>
  <c r="D409" i="5"/>
  <c r="C409" i="5"/>
  <c r="B409" i="5"/>
  <c r="A409" i="5"/>
  <c r="G408" i="5"/>
  <c r="F408" i="5"/>
  <c r="E408" i="5"/>
  <c r="D408" i="5"/>
  <c r="C408" i="5"/>
  <c r="B408" i="5"/>
  <c r="A408" i="5"/>
  <c r="H407" i="5"/>
  <c r="G407" i="5"/>
  <c r="F407" i="5"/>
  <c r="E407" i="5"/>
  <c r="D407" i="5"/>
  <c r="C407" i="5"/>
  <c r="B407" i="5"/>
  <c r="A407" i="5"/>
  <c r="G406" i="5"/>
  <c r="F406" i="5"/>
  <c r="E406" i="5"/>
  <c r="D406" i="5"/>
  <c r="C406" i="5"/>
  <c r="B406" i="5"/>
  <c r="A406" i="5"/>
  <c r="G405" i="5"/>
  <c r="F405" i="5"/>
  <c r="E405" i="5"/>
  <c r="D405" i="5"/>
  <c r="C405" i="5"/>
  <c r="B405" i="5"/>
  <c r="A405" i="5"/>
  <c r="G404" i="5"/>
  <c r="F404" i="5"/>
  <c r="E404" i="5"/>
  <c r="D404" i="5"/>
  <c r="C404" i="5"/>
  <c r="B404" i="5"/>
  <c r="A404" i="5"/>
  <c r="G403" i="5"/>
  <c r="F403" i="5"/>
  <c r="E403" i="5"/>
  <c r="D403" i="5"/>
  <c r="C403" i="5"/>
  <c r="B403" i="5"/>
  <c r="A403" i="5"/>
  <c r="G402" i="5"/>
  <c r="F402" i="5"/>
  <c r="E402" i="5"/>
  <c r="D402" i="5"/>
  <c r="C402" i="5"/>
  <c r="B402" i="5"/>
  <c r="A402" i="5"/>
  <c r="H401" i="5"/>
  <c r="G401" i="5"/>
  <c r="F401" i="5"/>
  <c r="E401" i="5"/>
  <c r="D401" i="5"/>
  <c r="C401" i="5"/>
  <c r="B401" i="5"/>
  <c r="A401" i="5"/>
  <c r="G400" i="5"/>
  <c r="F400" i="5"/>
  <c r="E400" i="5"/>
  <c r="D400" i="5"/>
  <c r="C400" i="5"/>
  <c r="B400" i="5"/>
  <c r="A400" i="5"/>
  <c r="H399" i="5"/>
  <c r="G399" i="5"/>
  <c r="F399" i="5"/>
  <c r="E399" i="5"/>
  <c r="D399" i="5"/>
  <c r="C399" i="5"/>
  <c r="B399" i="5"/>
  <c r="A399" i="5"/>
  <c r="G398" i="5"/>
  <c r="F398" i="5"/>
  <c r="E398" i="5"/>
  <c r="D398" i="5"/>
  <c r="C398" i="5"/>
  <c r="B398" i="5"/>
  <c r="A398" i="5"/>
  <c r="G397" i="5"/>
  <c r="F397" i="5"/>
  <c r="E397" i="5"/>
  <c r="D397" i="5"/>
  <c r="C397" i="5"/>
  <c r="B397" i="5"/>
  <c r="A397" i="5"/>
  <c r="G396" i="5"/>
  <c r="F396" i="5"/>
  <c r="E396" i="5"/>
  <c r="D396" i="5"/>
  <c r="C396" i="5"/>
  <c r="B396" i="5"/>
  <c r="A396" i="5"/>
  <c r="G395" i="5"/>
  <c r="F395" i="5"/>
  <c r="E395" i="5"/>
  <c r="D395" i="5"/>
  <c r="C395" i="5"/>
  <c r="B395" i="5"/>
  <c r="A395" i="5"/>
  <c r="G394" i="5"/>
  <c r="F394" i="5"/>
  <c r="E394" i="5"/>
  <c r="D394" i="5"/>
  <c r="C394" i="5"/>
  <c r="B394" i="5"/>
  <c r="A394" i="5"/>
  <c r="G393" i="5"/>
  <c r="F393" i="5"/>
  <c r="E393" i="5"/>
  <c r="D393" i="5"/>
  <c r="C393" i="5"/>
  <c r="B393" i="5"/>
  <c r="A393" i="5"/>
  <c r="G392" i="5"/>
  <c r="F392" i="5"/>
  <c r="E392" i="5"/>
  <c r="D392" i="5"/>
  <c r="C392" i="5"/>
  <c r="B392" i="5"/>
  <c r="A392" i="5"/>
  <c r="H391" i="5"/>
  <c r="G391" i="5"/>
  <c r="F391" i="5"/>
  <c r="E391" i="5"/>
  <c r="D391" i="5"/>
  <c r="C391" i="5"/>
  <c r="B391" i="5"/>
  <c r="A391" i="5"/>
  <c r="G390" i="5"/>
  <c r="F390" i="5"/>
  <c r="E390" i="5"/>
  <c r="D390" i="5"/>
  <c r="C390" i="5"/>
  <c r="B390" i="5"/>
  <c r="A390" i="5"/>
  <c r="H389" i="5"/>
  <c r="G389" i="5"/>
  <c r="F389" i="5"/>
  <c r="E389" i="5"/>
  <c r="D389" i="5"/>
  <c r="C389" i="5"/>
  <c r="B389" i="5"/>
  <c r="A389" i="5"/>
  <c r="H388" i="5"/>
  <c r="G388" i="5"/>
  <c r="F388" i="5"/>
  <c r="E388" i="5"/>
  <c r="D388" i="5"/>
  <c r="C388" i="5"/>
  <c r="B388" i="5"/>
  <c r="A388" i="5"/>
  <c r="G387" i="5"/>
  <c r="F387" i="5"/>
  <c r="E387" i="5"/>
  <c r="D387" i="5"/>
  <c r="C387" i="5"/>
  <c r="B387" i="5"/>
  <c r="A387" i="5"/>
  <c r="G386" i="5"/>
  <c r="F386" i="5"/>
  <c r="E386" i="5"/>
  <c r="D386" i="5"/>
  <c r="C386" i="5"/>
  <c r="B386" i="5"/>
  <c r="A386" i="5"/>
  <c r="H385" i="5"/>
  <c r="G385" i="5"/>
  <c r="F385" i="5"/>
  <c r="E385" i="5"/>
  <c r="D385" i="5"/>
  <c r="C385" i="5"/>
  <c r="B385" i="5"/>
  <c r="A385" i="5"/>
  <c r="G384" i="5"/>
  <c r="F384" i="5"/>
  <c r="E384" i="5"/>
  <c r="D384" i="5"/>
  <c r="C384" i="5"/>
  <c r="B384" i="5"/>
  <c r="A384" i="5"/>
  <c r="G383" i="5"/>
  <c r="F383" i="5"/>
  <c r="E383" i="5"/>
  <c r="D383" i="5"/>
  <c r="C383" i="5"/>
  <c r="B383" i="5"/>
  <c r="A383" i="5"/>
  <c r="G382" i="5"/>
  <c r="F382" i="5"/>
  <c r="E382" i="5"/>
  <c r="D382" i="5"/>
  <c r="C382" i="5"/>
  <c r="B382" i="5"/>
  <c r="A382" i="5"/>
  <c r="G381" i="5"/>
  <c r="F381" i="5"/>
  <c r="E381" i="5"/>
  <c r="D381" i="5"/>
  <c r="C381" i="5"/>
  <c r="B381" i="5"/>
  <c r="A381" i="5"/>
  <c r="G380" i="5"/>
  <c r="F380" i="5"/>
  <c r="E380" i="5"/>
  <c r="D380" i="5"/>
  <c r="C380" i="5"/>
  <c r="B380" i="5"/>
  <c r="A380" i="5"/>
  <c r="G379" i="5"/>
  <c r="F379" i="5"/>
  <c r="E379" i="5"/>
  <c r="D379" i="5"/>
  <c r="C379" i="5"/>
  <c r="B379" i="5"/>
  <c r="A379" i="5"/>
  <c r="G378" i="5"/>
  <c r="F378" i="5"/>
  <c r="E378" i="5"/>
  <c r="D378" i="5"/>
  <c r="C378" i="5"/>
  <c r="B378" i="5"/>
  <c r="A378" i="5"/>
  <c r="G377" i="5"/>
  <c r="F377" i="5"/>
  <c r="E377" i="5"/>
  <c r="D377" i="5"/>
  <c r="C377" i="5"/>
  <c r="B377" i="5"/>
  <c r="A377" i="5"/>
  <c r="G376" i="5"/>
  <c r="F376" i="5"/>
  <c r="E376" i="5"/>
  <c r="D376" i="5"/>
  <c r="C376" i="5"/>
  <c r="B376" i="5"/>
  <c r="A376" i="5"/>
  <c r="G375" i="5"/>
  <c r="F375" i="5"/>
  <c r="E375" i="5"/>
  <c r="D375" i="5"/>
  <c r="C375" i="5"/>
  <c r="B375" i="5"/>
  <c r="A375" i="5"/>
  <c r="G374" i="5"/>
  <c r="F374" i="5"/>
  <c r="E374" i="5"/>
  <c r="D374" i="5"/>
  <c r="C374" i="5"/>
  <c r="B374" i="5"/>
  <c r="A374" i="5"/>
  <c r="G373" i="5"/>
  <c r="F373" i="5"/>
  <c r="E373" i="5"/>
  <c r="D373" i="5"/>
  <c r="C373" i="5"/>
  <c r="B373" i="5"/>
  <c r="A373" i="5"/>
  <c r="G372" i="5"/>
  <c r="F372" i="5"/>
  <c r="E372" i="5"/>
  <c r="D372" i="5"/>
  <c r="C372" i="5"/>
  <c r="B372" i="5"/>
  <c r="A372" i="5"/>
  <c r="G371" i="5"/>
  <c r="F371" i="5"/>
  <c r="E371" i="5"/>
  <c r="D371" i="5"/>
  <c r="C371" i="5"/>
  <c r="B371" i="5"/>
  <c r="A371" i="5"/>
  <c r="G370" i="5"/>
  <c r="F370" i="5"/>
  <c r="E370" i="5"/>
  <c r="D370" i="5"/>
  <c r="C370" i="5"/>
  <c r="B370" i="5"/>
  <c r="A370" i="5"/>
  <c r="G369" i="5"/>
  <c r="F369" i="5"/>
  <c r="E369" i="5"/>
  <c r="D369" i="5"/>
  <c r="C369" i="5"/>
  <c r="B369" i="5"/>
  <c r="A369" i="5"/>
  <c r="G368" i="5"/>
  <c r="F368" i="5"/>
  <c r="E368" i="5"/>
  <c r="D368" i="5"/>
  <c r="C368" i="5"/>
  <c r="B368" i="5"/>
  <c r="A368" i="5"/>
  <c r="G367" i="5"/>
  <c r="F367" i="5"/>
  <c r="E367" i="5"/>
  <c r="D367" i="5"/>
  <c r="C367" i="5"/>
  <c r="B367" i="5"/>
  <c r="A367" i="5"/>
  <c r="G366" i="5"/>
  <c r="F366" i="5"/>
  <c r="E366" i="5"/>
  <c r="D366" i="5"/>
  <c r="C366" i="5"/>
  <c r="B366" i="5"/>
  <c r="A366" i="5"/>
  <c r="G365" i="5"/>
  <c r="F365" i="5"/>
  <c r="E365" i="5"/>
  <c r="D365" i="5"/>
  <c r="C365" i="5"/>
  <c r="B365" i="5"/>
  <c r="A365" i="5"/>
  <c r="G364" i="5"/>
  <c r="F364" i="5"/>
  <c r="E364" i="5"/>
  <c r="D364" i="5"/>
  <c r="C364" i="5"/>
  <c r="B364" i="5"/>
  <c r="A364" i="5"/>
  <c r="G363" i="5"/>
  <c r="F363" i="5"/>
  <c r="E363" i="5"/>
  <c r="D363" i="5"/>
  <c r="C363" i="5"/>
  <c r="B363" i="5"/>
  <c r="A363" i="5"/>
  <c r="H362" i="5"/>
  <c r="G362" i="5"/>
  <c r="F362" i="5"/>
  <c r="E362" i="5"/>
  <c r="D362" i="5"/>
  <c r="C362" i="5"/>
  <c r="B362" i="5"/>
  <c r="A362" i="5"/>
  <c r="G361" i="5"/>
  <c r="F361" i="5"/>
  <c r="E361" i="5"/>
  <c r="D361" i="5"/>
  <c r="C361" i="5"/>
  <c r="B361" i="5"/>
  <c r="A361" i="5"/>
  <c r="H360" i="5"/>
  <c r="G360" i="5"/>
  <c r="F360" i="5"/>
  <c r="E360" i="5"/>
  <c r="D360" i="5"/>
  <c r="C360" i="5"/>
  <c r="B360" i="5"/>
  <c r="A360" i="5"/>
  <c r="G359" i="5"/>
  <c r="F359" i="5"/>
  <c r="E359" i="5"/>
  <c r="D359" i="5"/>
  <c r="C359" i="5"/>
  <c r="B359" i="5"/>
  <c r="A359" i="5"/>
  <c r="G358" i="5"/>
  <c r="F358" i="5"/>
  <c r="E358" i="5"/>
  <c r="D358" i="5"/>
  <c r="C358" i="5"/>
  <c r="B358" i="5"/>
  <c r="A358" i="5"/>
  <c r="G357" i="5"/>
  <c r="F357" i="5"/>
  <c r="E357" i="5"/>
  <c r="D357" i="5"/>
  <c r="C357" i="5"/>
  <c r="B357" i="5"/>
  <c r="A357" i="5"/>
  <c r="G356" i="5"/>
  <c r="F356" i="5"/>
  <c r="E356" i="5"/>
  <c r="D356" i="5"/>
  <c r="C356" i="5"/>
  <c r="B356" i="5"/>
  <c r="A356" i="5"/>
  <c r="G355" i="5"/>
  <c r="F355" i="5"/>
  <c r="E355" i="5"/>
  <c r="D355" i="5"/>
  <c r="C355" i="5"/>
  <c r="B355" i="5"/>
  <c r="A355" i="5"/>
  <c r="G354" i="5"/>
  <c r="F354" i="5"/>
  <c r="E354" i="5"/>
  <c r="D354" i="5"/>
  <c r="C354" i="5"/>
  <c r="B354" i="5"/>
  <c r="A354" i="5"/>
  <c r="G353" i="5"/>
  <c r="F353" i="5"/>
  <c r="E353" i="5"/>
  <c r="D353" i="5"/>
  <c r="C353" i="5"/>
  <c r="B353" i="5"/>
  <c r="A353" i="5"/>
  <c r="G352" i="5"/>
  <c r="F352" i="5"/>
  <c r="E352" i="5"/>
  <c r="D352" i="5"/>
  <c r="C352" i="5"/>
  <c r="B352" i="5"/>
  <c r="A352" i="5"/>
  <c r="G351" i="5"/>
  <c r="F351" i="5"/>
  <c r="E351" i="5"/>
  <c r="D351" i="5"/>
  <c r="C351" i="5"/>
  <c r="B351" i="5"/>
  <c r="A351" i="5"/>
  <c r="G350" i="5"/>
  <c r="F350" i="5"/>
  <c r="E350" i="5"/>
  <c r="D350" i="5"/>
  <c r="C350" i="5"/>
  <c r="B350" i="5"/>
  <c r="A350" i="5"/>
  <c r="G349" i="5"/>
  <c r="F349" i="5"/>
  <c r="E349" i="5"/>
  <c r="D349" i="5"/>
  <c r="C349" i="5"/>
  <c r="B349" i="5"/>
  <c r="A349" i="5"/>
  <c r="H348" i="5"/>
  <c r="G348" i="5"/>
  <c r="F348" i="5"/>
  <c r="E348" i="5"/>
  <c r="D348" i="5"/>
  <c r="C348" i="5"/>
  <c r="B348" i="5"/>
  <c r="A348" i="5"/>
  <c r="G347" i="5"/>
  <c r="F347" i="5"/>
  <c r="E347" i="5"/>
  <c r="D347" i="5"/>
  <c r="C347" i="5"/>
  <c r="B347" i="5"/>
  <c r="A347" i="5"/>
  <c r="H346" i="5"/>
  <c r="G346" i="5"/>
  <c r="F346" i="5"/>
  <c r="E346" i="5"/>
  <c r="D346" i="5"/>
  <c r="C346" i="5"/>
  <c r="B346" i="5"/>
  <c r="A346" i="5"/>
  <c r="H345" i="5"/>
  <c r="G345" i="5"/>
  <c r="F345" i="5"/>
  <c r="E345" i="5"/>
  <c r="D345" i="5"/>
  <c r="C345" i="5"/>
  <c r="B345" i="5"/>
  <c r="A345" i="5"/>
  <c r="G344" i="5"/>
  <c r="F344" i="5"/>
  <c r="E344" i="5"/>
  <c r="D344" i="5"/>
  <c r="C344" i="5"/>
  <c r="B344" i="5"/>
  <c r="A344" i="5"/>
  <c r="G343" i="5"/>
  <c r="F343" i="5"/>
  <c r="E343" i="5"/>
  <c r="D343" i="5"/>
  <c r="C343" i="5"/>
  <c r="B343" i="5"/>
  <c r="A343" i="5"/>
  <c r="G342" i="5"/>
  <c r="F342" i="5"/>
  <c r="E342" i="5"/>
  <c r="D342" i="5"/>
  <c r="C342" i="5"/>
  <c r="B342" i="5"/>
  <c r="A342" i="5"/>
  <c r="G341" i="5"/>
  <c r="F341" i="5"/>
  <c r="E341" i="5"/>
  <c r="D341" i="5"/>
  <c r="C341" i="5"/>
  <c r="B341" i="5"/>
  <c r="A341" i="5"/>
  <c r="G340" i="5"/>
  <c r="F340" i="5"/>
  <c r="E340" i="5"/>
  <c r="D340" i="5"/>
  <c r="C340" i="5"/>
  <c r="B340" i="5"/>
  <c r="A340" i="5"/>
  <c r="G339" i="5"/>
  <c r="F339" i="5"/>
  <c r="E339" i="5"/>
  <c r="D339" i="5"/>
  <c r="C339" i="5"/>
  <c r="B339" i="5"/>
  <c r="A339" i="5"/>
  <c r="G338" i="5"/>
  <c r="F338" i="5"/>
  <c r="E338" i="5"/>
  <c r="D338" i="5"/>
  <c r="C338" i="5"/>
  <c r="B338" i="5"/>
  <c r="A338" i="5"/>
  <c r="H337" i="5"/>
  <c r="G337" i="5"/>
  <c r="F337" i="5"/>
  <c r="E337" i="5"/>
  <c r="D337" i="5"/>
  <c r="C337" i="5"/>
  <c r="B337" i="5"/>
  <c r="A337" i="5"/>
  <c r="G336" i="5"/>
  <c r="F336" i="5"/>
  <c r="E336" i="5"/>
  <c r="D336" i="5"/>
  <c r="C336" i="5"/>
  <c r="B336" i="5"/>
  <c r="A336" i="5"/>
  <c r="G335" i="5"/>
  <c r="F335" i="5"/>
  <c r="E335" i="5"/>
  <c r="D335" i="5"/>
  <c r="C335" i="5"/>
  <c r="B335" i="5"/>
  <c r="A335" i="5"/>
  <c r="H334" i="5"/>
  <c r="G334" i="5"/>
  <c r="F334" i="5"/>
  <c r="E334" i="5"/>
  <c r="D334" i="5"/>
  <c r="C334" i="5"/>
  <c r="B334" i="5"/>
  <c r="A334" i="5"/>
  <c r="G333" i="5"/>
  <c r="F333" i="5"/>
  <c r="E333" i="5"/>
  <c r="D333" i="5"/>
  <c r="C333" i="5"/>
  <c r="B333" i="5"/>
  <c r="A333" i="5"/>
  <c r="G332" i="5"/>
  <c r="F332" i="5"/>
  <c r="E332" i="5"/>
  <c r="D332" i="5"/>
  <c r="C332" i="5"/>
  <c r="B332" i="5"/>
  <c r="A332" i="5"/>
  <c r="G331" i="5"/>
  <c r="F331" i="5"/>
  <c r="E331" i="5"/>
  <c r="D331" i="5"/>
  <c r="C331" i="5"/>
  <c r="B331" i="5"/>
  <c r="A331" i="5"/>
  <c r="G330" i="5"/>
  <c r="F330" i="5"/>
  <c r="E330" i="5"/>
  <c r="D330" i="5"/>
  <c r="C330" i="5"/>
  <c r="B330" i="5"/>
  <c r="A330" i="5"/>
  <c r="G329" i="5"/>
  <c r="F329" i="5"/>
  <c r="E329" i="5"/>
  <c r="D329" i="5"/>
  <c r="C329" i="5"/>
  <c r="B329" i="5"/>
  <c r="A329" i="5"/>
  <c r="G328" i="5"/>
  <c r="F328" i="5"/>
  <c r="E328" i="5"/>
  <c r="D328" i="5"/>
  <c r="C328" i="5"/>
  <c r="B328" i="5"/>
  <c r="A328" i="5"/>
  <c r="G327" i="5"/>
  <c r="F327" i="5"/>
  <c r="E327" i="5"/>
  <c r="D327" i="5"/>
  <c r="C327" i="5"/>
  <c r="B327" i="5"/>
  <c r="A327" i="5"/>
  <c r="G326" i="5"/>
  <c r="F326" i="5"/>
  <c r="E326" i="5"/>
  <c r="D326" i="5"/>
  <c r="C326" i="5"/>
  <c r="B326" i="5"/>
  <c r="A326" i="5"/>
  <c r="G325" i="5"/>
  <c r="F325" i="5"/>
  <c r="E325" i="5"/>
  <c r="D325" i="5"/>
  <c r="C325" i="5"/>
  <c r="B325" i="5"/>
  <c r="A325" i="5"/>
  <c r="G324" i="5"/>
  <c r="F324" i="5"/>
  <c r="E324" i="5"/>
  <c r="D324" i="5"/>
  <c r="C324" i="5"/>
  <c r="B324" i="5"/>
  <c r="A324" i="5"/>
  <c r="G323" i="5"/>
  <c r="F323" i="5"/>
  <c r="E323" i="5"/>
  <c r="D323" i="5"/>
  <c r="C323" i="5"/>
  <c r="B323" i="5"/>
  <c r="A323" i="5"/>
  <c r="G322" i="5"/>
  <c r="F322" i="5"/>
  <c r="E322" i="5"/>
  <c r="D322" i="5"/>
  <c r="C322" i="5"/>
  <c r="B322" i="5"/>
  <c r="A322" i="5"/>
  <c r="G321" i="5"/>
  <c r="F321" i="5"/>
  <c r="E321" i="5"/>
  <c r="D321" i="5"/>
  <c r="C321" i="5"/>
  <c r="B321" i="5"/>
  <c r="A321" i="5"/>
  <c r="H320" i="5"/>
  <c r="G320" i="5"/>
  <c r="F320" i="5"/>
  <c r="E320" i="5"/>
  <c r="D320" i="5"/>
  <c r="C320" i="5"/>
  <c r="B320" i="5"/>
  <c r="A320" i="5"/>
  <c r="G319" i="5"/>
  <c r="F319" i="5"/>
  <c r="E319" i="5"/>
  <c r="D319" i="5"/>
  <c r="C319" i="5"/>
  <c r="B319" i="5"/>
  <c r="A319" i="5"/>
  <c r="H314" i="5"/>
  <c r="G314" i="5"/>
  <c r="F314" i="5"/>
  <c r="E314" i="5"/>
  <c r="D314" i="5"/>
  <c r="C314" i="5"/>
  <c r="B314" i="5"/>
  <c r="A314" i="5"/>
  <c r="H313" i="5"/>
  <c r="G313" i="5"/>
  <c r="F313" i="5"/>
  <c r="E313" i="5"/>
  <c r="D313" i="5"/>
  <c r="C313" i="5"/>
  <c r="B313" i="5"/>
  <c r="A313" i="5"/>
  <c r="G312" i="5"/>
  <c r="F312" i="5"/>
  <c r="E312" i="5"/>
  <c r="D312" i="5"/>
  <c r="C312" i="5"/>
  <c r="B312" i="5"/>
  <c r="A312" i="5"/>
  <c r="G311" i="5"/>
  <c r="F311" i="5"/>
  <c r="E311" i="5"/>
  <c r="D311" i="5"/>
  <c r="C311" i="5"/>
  <c r="B311" i="5"/>
  <c r="A311" i="5"/>
  <c r="G310" i="5"/>
  <c r="F310" i="5"/>
  <c r="E310" i="5"/>
  <c r="D310" i="5"/>
  <c r="C310" i="5"/>
  <c r="B310" i="5"/>
  <c r="A310" i="5"/>
  <c r="G309" i="5"/>
  <c r="F309" i="5"/>
  <c r="E309" i="5"/>
  <c r="D309" i="5"/>
  <c r="C309" i="5"/>
  <c r="B309" i="5"/>
  <c r="A309" i="5"/>
  <c r="H308" i="5"/>
  <c r="G308" i="5"/>
  <c r="F308" i="5"/>
  <c r="E308" i="5"/>
  <c r="D308" i="5"/>
  <c r="C308" i="5"/>
  <c r="B308" i="5"/>
  <c r="A308" i="5"/>
  <c r="H307" i="5"/>
  <c r="G307" i="5"/>
  <c r="F307" i="5"/>
  <c r="E307" i="5"/>
  <c r="D307" i="5"/>
  <c r="C307" i="5"/>
  <c r="B307" i="5"/>
  <c r="A307" i="5"/>
  <c r="H306" i="5"/>
  <c r="G306" i="5"/>
  <c r="F306" i="5"/>
  <c r="E306" i="5"/>
  <c r="D306" i="5"/>
  <c r="C306" i="5"/>
  <c r="B306" i="5"/>
  <c r="A306" i="5"/>
  <c r="H305" i="5"/>
  <c r="G305" i="5"/>
  <c r="F305" i="5"/>
  <c r="E305" i="5"/>
  <c r="D305" i="5"/>
  <c r="C305" i="5"/>
  <c r="B305" i="5"/>
  <c r="A305" i="5"/>
  <c r="G304" i="5"/>
  <c r="F304" i="5"/>
  <c r="E304" i="5"/>
  <c r="D304" i="5"/>
  <c r="C304" i="5"/>
  <c r="B304" i="5"/>
  <c r="A304" i="5"/>
  <c r="H303" i="5"/>
  <c r="G303" i="5"/>
  <c r="F303" i="5"/>
  <c r="E303" i="5"/>
  <c r="D303" i="5"/>
  <c r="C303" i="5"/>
  <c r="B303" i="5"/>
  <c r="A303" i="5"/>
  <c r="G302" i="5"/>
  <c r="F302" i="5"/>
  <c r="E302" i="5"/>
  <c r="D302" i="5"/>
  <c r="C302" i="5"/>
  <c r="B302" i="5"/>
  <c r="A302" i="5"/>
  <c r="G301" i="5"/>
  <c r="F301" i="5"/>
  <c r="E301" i="5"/>
  <c r="D301" i="5"/>
  <c r="C301" i="5"/>
  <c r="B301" i="5"/>
  <c r="A301" i="5"/>
  <c r="H300" i="5"/>
  <c r="G300" i="5"/>
  <c r="F300" i="5"/>
  <c r="E300" i="5"/>
  <c r="D300" i="5"/>
  <c r="C300" i="5"/>
  <c r="B300" i="5"/>
  <c r="A300" i="5"/>
  <c r="H299" i="5"/>
  <c r="G299" i="5"/>
  <c r="F299" i="5"/>
  <c r="E299" i="5"/>
  <c r="D299" i="5"/>
  <c r="C299" i="5"/>
  <c r="B299" i="5"/>
  <c r="A299" i="5"/>
  <c r="H298" i="5"/>
  <c r="G298" i="5"/>
  <c r="F298" i="5"/>
  <c r="E298" i="5"/>
  <c r="D298" i="5"/>
  <c r="C298" i="5"/>
  <c r="B298" i="5"/>
  <c r="A298" i="5"/>
  <c r="H297" i="5"/>
  <c r="G297" i="5"/>
  <c r="F297" i="5"/>
  <c r="E297" i="5"/>
  <c r="D297" i="5"/>
  <c r="C297" i="5"/>
  <c r="B297" i="5"/>
  <c r="A297" i="5"/>
  <c r="H296" i="5"/>
  <c r="G296" i="5"/>
  <c r="F296" i="5"/>
  <c r="E296" i="5"/>
  <c r="D296" i="5"/>
  <c r="C296" i="5"/>
  <c r="B296" i="5"/>
  <c r="A296" i="5"/>
  <c r="H295" i="5"/>
  <c r="G295" i="5"/>
  <c r="F295" i="5"/>
  <c r="E295" i="5"/>
  <c r="D295" i="5"/>
  <c r="C295" i="5"/>
  <c r="B295" i="5"/>
  <c r="A295" i="5"/>
  <c r="H294" i="5"/>
  <c r="G294" i="5"/>
  <c r="F294" i="5"/>
  <c r="E294" i="5"/>
  <c r="D294" i="5"/>
  <c r="C294" i="5"/>
  <c r="B294" i="5"/>
  <c r="A294" i="5"/>
  <c r="H293" i="5"/>
  <c r="G293" i="5"/>
  <c r="F293" i="5"/>
  <c r="E293" i="5"/>
  <c r="D293" i="5"/>
  <c r="C293" i="5"/>
  <c r="B293" i="5"/>
  <c r="A293" i="5"/>
  <c r="G292" i="5"/>
  <c r="F292" i="5"/>
  <c r="E292" i="5"/>
  <c r="D292" i="5"/>
  <c r="C292" i="5"/>
  <c r="B292" i="5"/>
  <c r="A292" i="5"/>
  <c r="G291" i="5"/>
  <c r="F291" i="5"/>
  <c r="E291" i="5"/>
  <c r="D291" i="5"/>
  <c r="C291" i="5"/>
  <c r="B291" i="5"/>
  <c r="A291" i="5"/>
  <c r="G290" i="5"/>
  <c r="F290" i="5"/>
  <c r="E290" i="5"/>
  <c r="D290" i="5"/>
  <c r="C290" i="5"/>
  <c r="B290" i="5"/>
  <c r="A290" i="5"/>
  <c r="H289" i="5"/>
  <c r="G289" i="5"/>
  <c r="F289" i="5"/>
  <c r="E289" i="5"/>
  <c r="D289" i="5"/>
  <c r="C289" i="5"/>
  <c r="B289" i="5"/>
  <c r="A289" i="5"/>
  <c r="H288" i="5"/>
  <c r="G288" i="5"/>
  <c r="F288" i="5"/>
  <c r="E288" i="5"/>
  <c r="D288" i="5"/>
  <c r="C288" i="5"/>
  <c r="B288" i="5"/>
  <c r="A288" i="5"/>
  <c r="G287" i="5"/>
  <c r="F287" i="5"/>
  <c r="E287" i="5"/>
  <c r="D287" i="5"/>
  <c r="C287" i="5"/>
  <c r="B287" i="5"/>
  <c r="A287" i="5"/>
  <c r="H286" i="5"/>
  <c r="G286" i="5"/>
  <c r="F286" i="5"/>
  <c r="E286" i="5"/>
  <c r="D286" i="5"/>
  <c r="C286" i="5"/>
  <c r="B286" i="5"/>
  <c r="A286" i="5"/>
  <c r="G285" i="5"/>
  <c r="F285" i="5"/>
  <c r="E285" i="5"/>
  <c r="D285" i="5"/>
  <c r="C285" i="5"/>
  <c r="B285" i="5"/>
  <c r="A285" i="5"/>
  <c r="G284" i="5"/>
  <c r="F284" i="5"/>
  <c r="E284" i="5"/>
  <c r="D284" i="5"/>
  <c r="C284" i="5"/>
  <c r="B284" i="5"/>
  <c r="A284" i="5"/>
  <c r="H283" i="5"/>
  <c r="G283" i="5"/>
  <c r="F283" i="5"/>
  <c r="E283" i="5"/>
  <c r="D283" i="5"/>
  <c r="C283" i="5"/>
  <c r="B283" i="5"/>
  <c r="A283" i="5"/>
  <c r="H282" i="5"/>
  <c r="G282" i="5"/>
  <c r="F282" i="5"/>
  <c r="E282" i="5"/>
  <c r="D282" i="5"/>
  <c r="C282" i="5"/>
  <c r="B282" i="5"/>
  <c r="A282" i="5"/>
  <c r="H281" i="5"/>
  <c r="G281" i="5"/>
  <c r="F281" i="5"/>
  <c r="E281" i="5"/>
  <c r="D281" i="5"/>
  <c r="C281" i="5"/>
  <c r="B281" i="5"/>
  <c r="A281" i="5"/>
  <c r="H280" i="5"/>
  <c r="G280" i="5"/>
  <c r="F280" i="5"/>
  <c r="E280" i="5"/>
  <c r="D280" i="5"/>
  <c r="C280" i="5"/>
  <c r="B280" i="5"/>
  <c r="A280" i="5"/>
  <c r="G279" i="5"/>
  <c r="F279" i="5"/>
  <c r="E279" i="5"/>
  <c r="D279" i="5"/>
  <c r="C279" i="5"/>
  <c r="B279" i="5"/>
  <c r="A279" i="5"/>
  <c r="G278" i="5"/>
  <c r="F278" i="5"/>
  <c r="E278" i="5"/>
  <c r="D278" i="5"/>
  <c r="C278" i="5"/>
  <c r="B278" i="5"/>
  <c r="A278" i="5"/>
  <c r="G277" i="5"/>
  <c r="F277" i="5"/>
  <c r="E277" i="5"/>
  <c r="D277" i="5"/>
  <c r="C277" i="5"/>
  <c r="B277" i="5"/>
  <c r="A277" i="5"/>
  <c r="G276" i="5"/>
  <c r="F276" i="5"/>
  <c r="E276" i="5"/>
  <c r="D276" i="5"/>
  <c r="C276" i="5"/>
  <c r="B276" i="5"/>
  <c r="A276" i="5"/>
  <c r="G275" i="5"/>
  <c r="F275" i="5"/>
  <c r="E275" i="5"/>
  <c r="D275" i="5"/>
  <c r="C275" i="5"/>
  <c r="B275" i="5"/>
  <c r="A275" i="5"/>
  <c r="G274" i="5"/>
  <c r="F274" i="5"/>
  <c r="E274" i="5"/>
  <c r="D274" i="5"/>
  <c r="C274" i="5"/>
  <c r="B274" i="5"/>
  <c r="A274" i="5"/>
  <c r="G273" i="5"/>
  <c r="F273" i="5"/>
  <c r="E273" i="5"/>
  <c r="D273" i="5"/>
  <c r="C273" i="5"/>
  <c r="B273" i="5"/>
  <c r="A273" i="5"/>
  <c r="G272" i="5"/>
  <c r="F272" i="5"/>
  <c r="E272" i="5"/>
  <c r="D272" i="5"/>
  <c r="C272" i="5"/>
  <c r="B272" i="5"/>
  <c r="A272" i="5"/>
  <c r="G271" i="5"/>
  <c r="F271" i="5"/>
  <c r="E271" i="5"/>
  <c r="D271" i="5"/>
  <c r="C271" i="5"/>
  <c r="B271" i="5"/>
  <c r="A271" i="5"/>
  <c r="G270" i="5"/>
  <c r="F270" i="5"/>
  <c r="E270" i="5"/>
  <c r="D270" i="5"/>
  <c r="C270" i="5"/>
  <c r="B270" i="5"/>
  <c r="A270" i="5"/>
  <c r="G269" i="5"/>
  <c r="F269" i="5"/>
  <c r="E269" i="5"/>
  <c r="D269" i="5"/>
  <c r="C269" i="5"/>
  <c r="B269" i="5"/>
  <c r="A269" i="5"/>
  <c r="G268" i="5"/>
  <c r="F268" i="5"/>
  <c r="E268" i="5"/>
  <c r="D268" i="5"/>
  <c r="C268" i="5"/>
  <c r="B268" i="5"/>
  <c r="A268" i="5"/>
  <c r="G267" i="5"/>
  <c r="F267" i="5"/>
  <c r="E267" i="5"/>
  <c r="D267" i="5"/>
  <c r="C267" i="5"/>
  <c r="B267" i="5"/>
  <c r="A267" i="5"/>
  <c r="G266" i="5"/>
  <c r="F266" i="5"/>
  <c r="E266" i="5"/>
  <c r="D266" i="5"/>
  <c r="C266" i="5"/>
  <c r="B266" i="5"/>
  <c r="A266" i="5"/>
  <c r="G265" i="5"/>
  <c r="F265" i="5"/>
  <c r="E265" i="5"/>
  <c r="D265" i="5"/>
  <c r="C265" i="5"/>
  <c r="B265" i="5"/>
  <c r="A265" i="5"/>
  <c r="G264" i="5"/>
  <c r="F264" i="5"/>
  <c r="E264" i="5"/>
  <c r="D264" i="5"/>
  <c r="C264" i="5"/>
  <c r="B264" i="5"/>
  <c r="A264" i="5"/>
  <c r="G263" i="5"/>
  <c r="F263" i="5"/>
  <c r="E263" i="5"/>
  <c r="D263" i="5"/>
  <c r="C263" i="5"/>
  <c r="B263" i="5"/>
  <c r="A263" i="5"/>
  <c r="H262" i="5"/>
  <c r="G262" i="5"/>
  <c r="F262" i="5"/>
  <c r="E262" i="5"/>
  <c r="D262" i="5"/>
  <c r="C262" i="5"/>
  <c r="B262" i="5"/>
  <c r="A262" i="5"/>
  <c r="G261" i="5"/>
  <c r="F261" i="5"/>
  <c r="E261" i="5"/>
  <c r="D261" i="5"/>
  <c r="C261" i="5"/>
  <c r="B261" i="5"/>
  <c r="A261" i="5"/>
  <c r="H260" i="5"/>
  <c r="G260" i="5"/>
  <c r="F260" i="5"/>
  <c r="E260" i="5"/>
  <c r="D260" i="5"/>
  <c r="C260" i="5"/>
  <c r="B260" i="5"/>
  <c r="A260" i="5"/>
  <c r="G259" i="5"/>
  <c r="F259" i="5"/>
  <c r="E259" i="5"/>
  <c r="D259" i="5"/>
  <c r="C259" i="5"/>
  <c r="B259" i="5"/>
  <c r="A259" i="5"/>
  <c r="G258" i="5"/>
  <c r="F258" i="5"/>
  <c r="E258" i="5"/>
  <c r="D258" i="5"/>
  <c r="C258" i="5"/>
  <c r="B258" i="5"/>
  <c r="A258" i="5"/>
  <c r="G257" i="5"/>
  <c r="F257" i="5"/>
  <c r="E257" i="5"/>
  <c r="D257" i="5"/>
  <c r="C257" i="5"/>
  <c r="B257" i="5"/>
  <c r="A257" i="5"/>
  <c r="H256" i="5"/>
  <c r="G256" i="5"/>
  <c r="F256" i="5"/>
  <c r="E256" i="5"/>
  <c r="D256" i="5"/>
  <c r="C256" i="5"/>
  <c r="B256" i="5"/>
  <c r="A256" i="5"/>
  <c r="G255" i="5"/>
  <c r="F255" i="5"/>
  <c r="E255" i="5"/>
  <c r="D255" i="5"/>
  <c r="C255" i="5"/>
  <c r="B255" i="5"/>
  <c r="A255" i="5"/>
  <c r="H254" i="5"/>
  <c r="G254" i="5"/>
  <c r="F254" i="5"/>
  <c r="E254" i="5"/>
  <c r="D254" i="5"/>
  <c r="C254" i="5"/>
  <c r="B254" i="5"/>
  <c r="A254" i="5"/>
  <c r="H253" i="5"/>
  <c r="G253" i="5"/>
  <c r="F253" i="5"/>
  <c r="E253" i="5"/>
  <c r="D253" i="5"/>
  <c r="C253" i="5"/>
  <c r="B253" i="5"/>
  <c r="A253" i="5"/>
  <c r="H252" i="5"/>
  <c r="G252" i="5"/>
  <c r="F252" i="5"/>
  <c r="E252" i="5"/>
  <c r="D252" i="5"/>
  <c r="C252" i="5"/>
  <c r="B252" i="5"/>
  <c r="A252" i="5"/>
  <c r="H251" i="5"/>
  <c r="G251" i="5"/>
  <c r="F251" i="5"/>
  <c r="E251" i="5"/>
  <c r="D251" i="5"/>
  <c r="C251" i="5"/>
  <c r="B251" i="5"/>
  <c r="A251" i="5"/>
  <c r="G250" i="5"/>
  <c r="F250" i="5"/>
  <c r="E250" i="5"/>
  <c r="D250" i="5"/>
  <c r="C250" i="5"/>
  <c r="B250" i="5"/>
  <c r="A250" i="5"/>
  <c r="G249" i="5"/>
  <c r="F249" i="5"/>
  <c r="E249" i="5"/>
  <c r="D249" i="5"/>
  <c r="C249" i="5"/>
  <c r="B249" i="5"/>
  <c r="A249" i="5"/>
  <c r="G248" i="5"/>
  <c r="F248" i="5"/>
  <c r="E248" i="5"/>
  <c r="D248" i="5"/>
  <c r="C248" i="5"/>
  <c r="B248" i="5"/>
  <c r="A248" i="5"/>
  <c r="G247" i="5"/>
  <c r="F247" i="5"/>
  <c r="E247" i="5"/>
  <c r="D247" i="5"/>
  <c r="C247" i="5"/>
  <c r="B247" i="5"/>
  <c r="A247" i="5"/>
  <c r="G246" i="5"/>
  <c r="F246" i="5"/>
  <c r="E246" i="5"/>
  <c r="D246" i="5"/>
  <c r="C246" i="5"/>
  <c r="B246" i="5"/>
  <c r="A246" i="5"/>
  <c r="G245" i="5"/>
  <c r="F245" i="5"/>
  <c r="E245" i="5"/>
  <c r="D245" i="5"/>
  <c r="C245" i="5"/>
  <c r="B245" i="5"/>
  <c r="A245" i="5"/>
  <c r="G244" i="5"/>
  <c r="F244" i="5"/>
  <c r="E244" i="5"/>
  <c r="D244" i="5"/>
  <c r="C244" i="5"/>
  <c r="B244" i="5"/>
  <c r="A244" i="5"/>
  <c r="G243" i="5"/>
  <c r="F243" i="5"/>
  <c r="E243" i="5"/>
  <c r="D243" i="5"/>
  <c r="C243" i="5"/>
  <c r="B243" i="5"/>
  <c r="A243" i="5"/>
  <c r="G242" i="5"/>
  <c r="F242" i="5"/>
  <c r="E242" i="5"/>
  <c r="D242" i="5"/>
  <c r="C242" i="5"/>
  <c r="B242" i="5"/>
  <c r="A242" i="5"/>
  <c r="G241" i="5"/>
  <c r="F241" i="5"/>
  <c r="E241" i="5"/>
  <c r="D241" i="5"/>
  <c r="C241" i="5"/>
  <c r="B241" i="5"/>
  <c r="A241" i="5"/>
  <c r="G240" i="5"/>
  <c r="F240" i="5"/>
  <c r="E240" i="5"/>
  <c r="D240" i="5"/>
  <c r="C240" i="5"/>
  <c r="B240" i="5"/>
  <c r="A240" i="5"/>
  <c r="G239" i="5"/>
  <c r="F239" i="5"/>
  <c r="E239" i="5"/>
  <c r="D239" i="5"/>
  <c r="C239" i="5"/>
  <c r="B239" i="5"/>
  <c r="A239" i="5"/>
  <c r="G238" i="5"/>
  <c r="F238" i="5"/>
  <c r="E238" i="5"/>
  <c r="D238" i="5"/>
  <c r="C238" i="5"/>
  <c r="B238" i="5"/>
  <c r="A238" i="5"/>
  <c r="G237" i="5"/>
  <c r="F237" i="5"/>
  <c r="E237" i="5"/>
  <c r="D237" i="5"/>
  <c r="C237" i="5"/>
  <c r="B237" i="5"/>
  <c r="A237" i="5"/>
  <c r="G236" i="5"/>
  <c r="F236" i="5"/>
  <c r="E236" i="5"/>
  <c r="D236" i="5"/>
  <c r="C236" i="5"/>
  <c r="B236" i="5"/>
  <c r="A236" i="5"/>
  <c r="G235" i="5"/>
  <c r="F235" i="5"/>
  <c r="E235" i="5"/>
  <c r="D235" i="5"/>
  <c r="C235" i="5"/>
  <c r="B235" i="5"/>
  <c r="A235" i="5"/>
  <c r="G234" i="5"/>
  <c r="F234" i="5"/>
  <c r="E234" i="5"/>
  <c r="D234" i="5"/>
  <c r="C234" i="5"/>
  <c r="B234" i="5"/>
  <c r="A234" i="5"/>
  <c r="G233" i="5"/>
  <c r="F233" i="5"/>
  <c r="E233" i="5"/>
  <c r="D233" i="5"/>
  <c r="C233" i="5"/>
  <c r="B233" i="5"/>
  <c r="A233" i="5"/>
  <c r="H232" i="5"/>
  <c r="G232" i="5"/>
  <c r="F232" i="5"/>
  <c r="E232" i="5"/>
  <c r="D232" i="5"/>
  <c r="C232" i="5"/>
  <c r="B232" i="5"/>
  <c r="A232" i="5"/>
  <c r="H231" i="5"/>
  <c r="G231" i="5"/>
  <c r="F231" i="5"/>
  <c r="E231" i="5"/>
  <c r="D231" i="5"/>
  <c r="C231" i="5"/>
  <c r="B231" i="5"/>
  <c r="A231" i="5"/>
  <c r="H230" i="5"/>
  <c r="G230" i="5"/>
  <c r="F230" i="5"/>
  <c r="E230" i="5"/>
  <c r="D230" i="5"/>
  <c r="C230" i="5"/>
  <c r="B230" i="5"/>
  <c r="A230" i="5"/>
  <c r="G229" i="5"/>
  <c r="F229" i="5"/>
  <c r="E229" i="5"/>
  <c r="D229" i="5"/>
  <c r="C229" i="5"/>
  <c r="B229" i="5"/>
  <c r="A229" i="5"/>
  <c r="H228" i="5"/>
  <c r="G228" i="5"/>
  <c r="F228" i="5"/>
  <c r="E228" i="5"/>
  <c r="D228" i="5"/>
  <c r="C228" i="5"/>
  <c r="B228" i="5"/>
  <c r="A228" i="5"/>
  <c r="H227" i="5"/>
  <c r="G227" i="5"/>
  <c r="F227" i="5"/>
  <c r="E227" i="5"/>
  <c r="D227" i="5"/>
  <c r="C227" i="5"/>
  <c r="B227" i="5"/>
  <c r="A227" i="5"/>
  <c r="G226" i="5"/>
  <c r="F226" i="5"/>
  <c r="E226" i="5"/>
  <c r="D226" i="5"/>
  <c r="C226" i="5"/>
  <c r="B226" i="5"/>
  <c r="A226" i="5"/>
  <c r="H225" i="5"/>
  <c r="G225" i="5"/>
  <c r="F225" i="5"/>
  <c r="E225" i="5"/>
  <c r="D225" i="5"/>
  <c r="C225" i="5"/>
  <c r="B225" i="5"/>
  <c r="A225" i="5"/>
  <c r="H224" i="5"/>
  <c r="G224" i="5"/>
  <c r="F224" i="5"/>
  <c r="E224" i="5"/>
  <c r="D224" i="5"/>
  <c r="C224" i="5"/>
  <c r="B224" i="5"/>
  <c r="A224" i="5"/>
  <c r="H223" i="5"/>
  <c r="G223" i="5"/>
  <c r="F223" i="5"/>
  <c r="E223" i="5"/>
  <c r="D223" i="5"/>
  <c r="C223" i="5"/>
  <c r="B223" i="5"/>
  <c r="A223" i="5"/>
  <c r="H222" i="5"/>
  <c r="G222" i="5"/>
  <c r="F222" i="5"/>
  <c r="E222" i="5"/>
  <c r="D222" i="5"/>
  <c r="C222" i="5"/>
  <c r="B222" i="5"/>
  <c r="A222" i="5"/>
  <c r="H221" i="5"/>
  <c r="G221" i="5"/>
  <c r="F221" i="5"/>
  <c r="E221" i="5"/>
  <c r="D221" i="5"/>
  <c r="C221" i="5"/>
  <c r="B221" i="5"/>
  <c r="A221" i="5"/>
  <c r="H220" i="5"/>
  <c r="G220" i="5"/>
  <c r="F220" i="5"/>
  <c r="E220" i="5"/>
  <c r="D220" i="5"/>
  <c r="C220" i="5"/>
  <c r="B220" i="5"/>
  <c r="A220" i="5"/>
  <c r="H219" i="5"/>
  <c r="G219" i="5"/>
  <c r="F219" i="5"/>
  <c r="E219" i="5"/>
  <c r="D219" i="5"/>
  <c r="C219" i="5"/>
  <c r="B219" i="5"/>
  <c r="A219" i="5"/>
  <c r="H218" i="5"/>
  <c r="G218" i="5"/>
  <c r="F218" i="5"/>
  <c r="E218" i="5"/>
  <c r="D218" i="5"/>
  <c r="C218" i="5"/>
  <c r="B218" i="5"/>
  <c r="A218" i="5"/>
  <c r="G217" i="5"/>
  <c r="F217" i="5"/>
  <c r="E217" i="5"/>
  <c r="D217" i="5"/>
  <c r="C217" i="5"/>
  <c r="B217" i="5"/>
  <c r="A217" i="5"/>
  <c r="H216" i="5"/>
  <c r="G216" i="5"/>
  <c r="F216" i="5"/>
  <c r="E216" i="5"/>
  <c r="D216" i="5"/>
  <c r="C216" i="5"/>
  <c r="B216" i="5"/>
  <c r="A216" i="5"/>
  <c r="H215" i="5"/>
  <c r="G215" i="5"/>
  <c r="F215" i="5"/>
  <c r="E215" i="5"/>
  <c r="D215" i="5"/>
  <c r="C215" i="5"/>
  <c r="B215" i="5"/>
  <c r="A215" i="5"/>
  <c r="H214" i="5"/>
  <c r="G214" i="5"/>
  <c r="F214" i="5"/>
  <c r="E214" i="5"/>
  <c r="D214" i="5"/>
  <c r="C214" i="5"/>
  <c r="B214" i="5"/>
  <c r="A214" i="5"/>
  <c r="G213" i="5"/>
  <c r="F213" i="5"/>
  <c r="E213" i="5"/>
  <c r="D213" i="5"/>
  <c r="C213" i="5"/>
  <c r="B213" i="5"/>
  <c r="A213" i="5"/>
  <c r="H212" i="5"/>
  <c r="G212" i="5"/>
  <c r="F212" i="5"/>
  <c r="E212" i="5"/>
  <c r="D212" i="5"/>
  <c r="C212" i="5"/>
  <c r="B212" i="5"/>
  <c r="A212" i="5"/>
  <c r="G211" i="5"/>
  <c r="F211" i="5"/>
  <c r="E211" i="5"/>
  <c r="D211" i="5"/>
  <c r="C211" i="5"/>
  <c r="B211" i="5"/>
  <c r="A211" i="5"/>
  <c r="G210" i="5"/>
  <c r="F210" i="5"/>
  <c r="E210" i="5"/>
  <c r="D210" i="5"/>
  <c r="C210" i="5"/>
  <c r="B210" i="5"/>
  <c r="A210" i="5"/>
  <c r="H209" i="5"/>
  <c r="G209" i="5"/>
  <c r="F209" i="5"/>
  <c r="E209" i="5"/>
  <c r="D209" i="5"/>
  <c r="C209" i="5"/>
  <c r="B209" i="5"/>
  <c r="A209" i="5"/>
  <c r="H208" i="5"/>
  <c r="G208" i="5"/>
  <c r="F208" i="5"/>
  <c r="E208" i="5"/>
  <c r="D208" i="5"/>
  <c r="C208" i="5"/>
  <c r="B208" i="5"/>
  <c r="A208" i="5"/>
  <c r="H207" i="5"/>
  <c r="G207" i="5"/>
  <c r="F207" i="5"/>
  <c r="E207" i="5"/>
  <c r="D207" i="5"/>
  <c r="C207" i="5"/>
  <c r="B207" i="5"/>
  <c r="A207" i="5"/>
  <c r="G206" i="5"/>
  <c r="F206" i="5"/>
  <c r="E206" i="5"/>
  <c r="D206" i="5"/>
  <c r="C206" i="5"/>
  <c r="B206" i="5"/>
  <c r="A206" i="5"/>
  <c r="H205" i="5"/>
  <c r="G205" i="5"/>
  <c r="F205" i="5"/>
  <c r="E205" i="5"/>
  <c r="D205" i="5"/>
  <c r="C205" i="5"/>
  <c r="B205" i="5"/>
  <c r="A205" i="5"/>
  <c r="H204" i="5"/>
  <c r="G204" i="5"/>
  <c r="F204" i="5"/>
  <c r="E204" i="5"/>
  <c r="D204" i="5"/>
  <c r="C204" i="5"/>
  <c r="B204" i="5"/>
  <c r="A204" i="5"/>
  <c r="H203" i="5"/>
  <c r="G203" i="5"/>
  <c r="F203" i="5"/>
  <c r="E203" i="5"/>
  <c r="D203" i="5"/>
  <c r="C203" i="5"/>
  <c r="B203" i="5"/>
  <c r="A203" i="5"/>
  <c r="H202" i="5"/>
  <c r="G202" i="5"/>
  <c r="F202" i="5"/>
  <c r="E202" i="5"/>
  <c r="D202" i="5"/>
  <c r="C202" i="5"/>
  <c r="B202" i="5"/>
  <c r="A202" i="5"/>
  <c r="H201" i="5"/>
  <c r="G201" i="5"/>
  <c r="F201" i="5"/>
  <c r="E201" i="5"/>
  <c r="D201" i="5"/>
  <c r="C201" i="5"/>
  <c r="B201" i="5"/>
  <c r="A201" i="5"/>
  <c r="H200" i="5"/>
  <c r="G200" i="5"/>
  <c r="F200" i="5"/>
  <c r="E200" i="5"/>
  <c r="D200" i="5"/>
  <c r="C200" i="5"/>
  <c r="B200" i="5"/>
  <c r="A200" i="5"/>
  <c r="H199" i="5"/>
  <c r="G199" i="5"/>
  <c r="F199" i="5"/>
  <c r="E199" i="5"/>
  <c r="D199" i="5"/>
  <c r="C199" i="5"/>
  <c r="B199" i="5"/>
  <c r="A199" i="5"/>
  <c r="H198" i="5"/>
  <c r="G198" i="5"/>
  <c r="F198" i="5"/>
  <c r="E198" i="5"/>
  <c r="D198" i="5"/>
  <c r="C198" i="5"/>
  <c r="B198" i="5"/>
  <c r="A198" i="5"/>
  <c r="H197" i="5"/>
  <c r="G197" i="5"/>
  <c r="F197" i="5"/>
  <c r="E197" i="5"/>
  <c r="D197" i="5"/>
  <c r="C197" i="5"/>
  <c r="B197" i="5"/>
  <c r="A197" i="5"/>
  <c r="H196" i="5"/>
  <c r="G196" i="5"/>
  <c r="F196" i="5"/>
  <c r="E196" i="5"/>
  <c r="D196" i="5"/>
  <c r="C196" i="5"/>
  <c r="B196" i="5"/>
  <c r="A196" i="5"/>
  <c r="H195" i="5"/>
  <c r="G195" i="5"/>
  <c r="F195" i="5"/>
  <c r="E195" i="5"/>
  <c r="D195" i="5"/>
  <c r="C195" i="5"/>
  <c r="B195" i="5"/>
  <c r="A195" i="5"/>
  <c r="H194" i="5"/>
  <c r="G194" i="5"/>
  <c r="F194" i="5"/>
  <c r="E194" i="5"/>
  <c r="D194" i="5"/>
  <c r="C194" i="5"/>
  <c r="B194" i="5"/>
  <c r="A194" i="5"/>
  <c r="G193" i="5"/>
  <c r="F193" i="5"/>
  <c r="E193" i="5"/>
  <c r="D193" i="5"/>
  <c r="C193" i="5"/>
  <c r="B193" i="5"/>
  <c r="A193" i="5"/>
  <c r="H192" i="5"/>
  <c r="G192" i="5"/>
  <c r="F192" i="5"/>
  <c r="E192" i="5"/>
  <c r="D192" i="5"/>
  <c r="C192" i="5"/>
  <c r="B192" i="5"/>
  <c r="A192" i="5"/>
  <c r="H191" i="5"/>
  <c r="G191" i="5"/>
  <c r="F191" i="5"/>
  <c r="E191" i="5"/>
  <c r="D191" i="5"/>
  <c r="C191" i="5"/>
  <c r="B191" i="5"/>
  <c r="A191" i="5"/>
  <c r="G190" i="5"/>
  <c r="F190" i="5"/>
  <c r="E190" i="5"/>
  <c r="D190" i="5"/>
  <c r="C190" i="5"/>
  <c r="B190" i="5"/>
  <c r="A190" i="5"/>
  <c r="H189" i="5"/>
  <c r="G189" i="5"/>
  <c r="F189" i="5"/>
  <c r="E189" i="5"/>
  <c r="D189" i="5"/>
  <c r="C189" i="5"/>
  <c r="B189" i="5"/>
  <c r="A189" i="5"/>
  <c r="H188" i="5"/>
  <c r="G188" i="5"/>
  <c r="F188" i="5"/>
  <c r="E188" i="5"/>
  <c r="D188" i="5"/>
  <c r="C188" i="5"/>
  <c r="B188" i="5"/>
  <c r="A188" i="5"/>
  <c r="H187" i="5"/>
  <c r="G187" i="5"/>
  <c r="F187" i="5"/>
  <c r="E187" i="5"/>
  <c r="D187" i="5"/>
  <c r="C187" i="5"/>
  <c r="B187" i="5"/>
  <c r="A187" i="5"/>
  <c r="H186" i="5"/>
  <c r="G186" i="5"/>
  <c r="F186" i="5"/>
  <c r="E186" i="5"/>
  <c r="D186" i="5"/>
  <c r="C186" i="5"/>
  <c r="B186" i="5"/>
  <c r="A186" i="5"/>
  <c r="G185" i="5"/>
  <c r="F185" i="5"/>
  <c r="E185" i="5"/>
  <c r="D185" i="5"/>
  <c r="C185" i="5"/>
  <c r="B185" i="5"/>
  <c r="A185" i="5"/>
  <c r="H184" i="5"/>
  <c r="G184" i="5"/>
  <c r="F184" i="5"/>
  <c r="E184" i="5"/>
  <c r="D184" i="5"/>
  <c r="C184" i="5"/>
  <c r="B184" i="5"/>
  <c r="A184" i="5"/>
  <c r="G183" i="5"/>
  <c r="F183" i="5"/>
  <c r="E183" i="5"/>
  <c r="D183" i="5"/>
  <c r="C183" i="5"/>
  <c r="B183" i="5"/>
  <c r="A183" i="5"/>
  <c r="G182" i="5"/>
  <c r="F182" i="5"/>
  <c r="E182" i="5"/>
  <c r="D182" i="5"/>
  <c r="C182" i="5"/>
  <c r="B182" i="5"/>
  <c r="A182" i="5"/>
  <c r="G181" i="5"/>
  <c r="F181" i="5"/>
  <c r="E181" i="5"/>
  <c r="D181" i="5"/>
  <c r="C181" i="5"/>
  <c r="B181" i="5"/>
  <c r="A181" i="5"/>
  <c r="G180" i="5"/>
  <c r="F180" i="5"/>
  <c r="E180" i="5"/>
  <c r="D180" i="5"/>
  <c r="C180" i="5"/>
  <c r="B180" i="5"/>
  <c r="A180" i="5"/>
  <c r="H179" i="5"/>
  <c r="G179" i="5"/>
  <c r="F179" i="5"/>
  <c r="E179" i="5"/>
  <c r="D179" i="5"/>
  <c r="C179" i="5"/>
  <c r="B179" i="5"/>
  <c r="A179" i="5"/>
  <c r="H178" i="5"/>
  <c r="G178" i="5"/>
  <c r="F178" i="5"/>
  <c r="E178" i="5"/>
  <c r="D178" i="5"/>
  <c r="C178" i="5"/>
  <c r="B178" i="5"/>
  <c r="A178" i="5"/>
  <c r="G177" i="5"/>
  <c r="F177" i="5"/>
  <c r="E177" i="5"/>
  <c r="D177" i="5"/>
  <c r="C177" i="5"/>
  <c r="B177" i="5"/>
  <c r="A177" i="5"/>
  <c r="G176" i="5"/>
  <c r="F176" i="5"/>
  <c r="E176" i="5"/>
  <c r="D176" i="5"/>
  <c r="C176" i="5"/>
  <c r="B176" i="5"/>
  <c r="A176" i="5"/>
  <c r="G175" i="5"/>
  <c r="F175" i="5"/>
  <c r="E175" i="5"/>
  <c r="D175" i="5"/>
  <c r="C175" i="5"/>
  <c r="B175" i="5"/>
  <c r="A175" i="5"/>
  <c r="H174" i="5"/>
  <c r="G174" i="5"/>
  <c r="F174" i="5"/>
  <c r="E174" i="5"/>
  <c r="D174" i="5"/>
  <c r="C174" i="5"/>
  <c r="B174" i="5"/>
  <c r="A174" i="5"/>
  <c r="H173" i="5"/>
  <c r="G173" i="5"/>
  <c r="F173" i="5"/>
  <c r="E173" i="5"/>
  <c r="D173" i="5"/>
  <c r="C173" i="5"/>
  <c r="B173" i="5"/>
  <c r="A173" i="5"/>
  <c r="H172" i="5"/>
  <c r="G172" i="5"/>
  <c r="F172" i="5"/>
  <c r="E172" i="5"/>
  <c r="D172" i="5"/>
  <c r="C172" i="5"/>
  <c r="B172" i="5"/>
  <c r="A172" i="5"/>
  <c r="H171" i="5"/>
  <c r="G171" i="5"/>
  <c r="F171" i="5"/>
  <c r="E171" i="5"/>
  <c r="D171" i="5"/>
  <c r="C171" i="5"/>
  <c r="B171" i="5"/>
  <c r="A171" i="5"/>
  <c r="H170" i="5"/>
  <c r="G170" i="5"/>
  <c r="F170" i="5"/>
  <c r="E170" i="5"/>
  <c r="D170" i="5"/>
  <c r="C170" i="5"/>
  <c r="B170" i="5"/>
  <c r="A170" i="5"/>
  <c r="G169" i="5"/>
  <c r="F169" i="5"/>
  <c r="E169" i="5"/>
  <c r="D169" i="5"/>
  <c r="C169" i="5"/>
  <c r="B169" i="5"/>
  <c r="A169" i="5"/>
  <c r="G168" i="5"/>
  <c r="F168" i="5"/>
  <c r="E168" i="5"/>
  <c r="D168" i="5"/>
  <c r="C168" i="5"/>
  <c r="B168" i="5"/>
  <c r="A168" i="5"/>
  <c r="H167" i="5"/>
  <c r="G167" i="5"/>
  <c r="F167" i="5"/>
  <c r="E167" i="5"/>
  <c r="D167" i="5"/>
  <c r="C167" i="5"/>
  <c r="B167" i="5"/>
  <c r="A167" i="5"/>
  <c r="G166" i="5"/>
  <c r="F166" i="5"/>
  <c r="E166" i="5"/>
  <c r="D166" i="5"/>
  <c r="C166" i="5"/>
  <c r="B166" i="5"/>
  <c r="A166" i="5"/>
  <c r="H165" i="5"/>
  <c r="G165" i="5"/>
  <c r="F165" i="5"/>
  <c r="E165" i="5"/>
  <c r="D165" i="5"/>
  <c r="C165" i="5"/>
  <c r="B165" i="5"/>
  <c r="A165" i="5"/>
  <c r="H164" i="5"/>
  <c r="G164" i="5"/>
  <c r="F164" i="5"/>
  <c r="E164" i="5"/>
  <c r="D164" i="5"/>
  <c r="C164" i="5"/>
  <c r="B164" i="5"/>
  <c r="A164" i="5"/>
  <c r="H163" i="5"/>
  <c r="G163" i="5"/>
  <c r="F163" i="5"/>
  <c r="E163" i="5"/>
  <c r="D163" i="5"/>
  <c r="C163" i="5"/>
  <c r="B163" i="5"/>
  <c r="A163" i="5"/>
  <c r="H162" i="5"/>
  <c r="G162" i="5"/>
  <c r="F162" i="5"/>
  <c r="E162" i="5"/>
  <c r="D162" i="5"/>
  <c r="C162" i="5"/>
  <c r="B162" i="5"/>
  <c r="A162" i="5"/>
  <c r="G161" i="5"/>
  <c r="F161" i="5"/>
  <c r="E161" i="5"/>
  <c r="D161" i="5"/>
  <c r="C161" i="5"/>
  <c r="B161" i="5"/>
  <c r="A161" i="5"/>
  <c r="H160" i="5"/>
  <c r="G160" i="5"/>
  <c r="F160" i="5"/>
  <c r="E160" i="5"/>
  <c r="D160" i="5"/>
  <c r="C160" i="5"/>
  <c r="B160" i="5"/>
  <c r="A160" i="5"/>
  <c r="G159" i="5"/>
  <c r="F159" i="5"/>
  <c r="E159" i="5"/>
  <c r="D159" i="5"/>
  <c r="C159" i="5"/>
  <c r="B159" i="5"/>
  <c r="A159" i="5"/>
  <c r="G158" i="5"/>
  <c r="F158" i="5"/>
  <c r="E158" i="5"/>
  <c r="D158" i="5"/>
  <c r="C158" i="5"/>
  <c r="B158" i="5"/>
  <c r="A158" i="5"/>
  <c r="H157" i="5"/>
  <c r="G157" i="5"/>
  <c r="F157" i="5"/>
  <c r="E157" i="5"/>
  <c r="D157" i="5"/>
  <c r="C157" i="5"/>
  <c r="B157" i="5"/>
  <c r="A157" i="5"/>
  <c r="H156" i="5"/>
  <c r="G156" i="5"/>
  <c r="F156" i="5"/>
  <c r="E156" i="5"/>
  <c r="D156" i="5"/>
  <c r="C156" i="5"/>
  <c r="B156" i="5"/>
  <c r="A156" i="5"/>
  <c r="H155" i="5"/>
  <c r="G155" i="5"/>
  <c r="F155" i="5"/>
  <c r="E155" i="5"/>
  <c r="D155" i="5"/>
  <c r="C155" i="5"/>
  <c r="B155" i="5"/>
  <c r="A155" i="5"/>
  <c r="G154" i="5"/>
  <c r="F154" i="5"/>
  <c r="E154" i="5"/>
  <c r="D154" i="5"/>
  <c r="C154" i="5"/>
  <c r="B154" i="5"/>
  <c r="A154" i="5"/>
  <c r="H153" i="5"/>
  <c r="G153" i="5"/>
  <c r="F153" i="5"/>
  <c r="E153" i="5"/>
  <c r="D153" i="5"/>
  <c r="C153" i="5"/>
  <c r="B153" i="5"/>
  <c r="A153" i="5"/>
  <c r="H152" i="5"/>
  <c r="G152" i="5"/>
  <c r="F152" i="5"/>
  <c r="E152" i="5"/>
  <c r="D152" i="5"/>
  <c r="C152" i="5"/>
  <c r="B152" i="5"/>
  <c r="A152" i="5"/>
  <c r="H151" i="5"/>
  <c r="G151" i="5"/>
  <c r="F151" i="5"/>
  <c r="E151" i="5"/>
  <c r="D151" i="5"/>
  <c r="C151" i="5"/>
  <c r="B151" i="5"/>
  <c r="A151" i="5"/>
  <c r="H150" i="5"/>
  <c r="G150" i="5"/>
  <c r="F150" i="5"/>
  <c r="E150" i="5"/>
  <c r="D150" i="5"/>
  <c r="C150" i="5"/>
  <c r="B150" i="5"/>
  <c r="A150" i="5"/>
  <c r="G149" i="5"/>
  <c r="F149" i="5"/>
  <c r="E149" i="5"/>
  <c r="D149" i="5"/>
  <c r="C149" i="5"/>
  <c r="B149" i="5"/>
  <c r="A149" i="5"/>
  <c r="H148" i="5"/>
  <c r="G148" i="5"/>
  <c r="F148" i="5"/>
  <c r="E148" i="5"/>
  <c r="D148" i="5"/>
  <c r="C148" i="5"/>
  <c r="B148" i="5"/>
  <c r="A148" i="5"/>
  <c r="G147" i="5"/>
  <c r="F147" i="5"/>
  <c r="E147" i="5"/>
  <c r="D147" i="5"/>
  <c r="C147" i="5"/>
  <c r="B147" i="5"/>
  <c r="A147" i="5"/>
  <c r="H146" i="5"/>
  <c r="G146" i="5"/>
  <c r="F146" i="5"/>
  <c r="E146" i="5"/>
  <c r="D146" i="5"/>
  <c r="C146" i="5"/>
  <c r="B146" i="5"/>
  <c r="A146" i="5"/>
  <c r="H145" i="5"/>
  <c r="G145" i="5"/>
  <c r="F145" i="5"/>
  <c r="E145" i="5"/>
  <c r="D145" i="5"/>
  <c r="C145" i="5"/>
  <c r="B145" i="5"/>
  <c r="A145" i="5"/>
  <c r="H144" i="5"/>
  <c r="G144" i="5"/>
  <c r="F144" i="5"/>
  <c r="E144" i="5"/>
  <c r="D144" i="5"/>
  <c r="C144" i="5"/>
  <c r="B144" i="5"/>
  <c r="A144" i="5"/>
  <c r="H143" i="5"/>
  <c r="G143" i="5"/>
  <c r="F143" i="5"/>
  <c r="E143" i="5"/>
  <c r="D143" i="5"/>
  <c r="C143" i="5"/>
  <c r="B143" i="5"/>
  <c r="A143" i="5"/>
  <c r="H142" i="5"/>
  <c r="G142" i="5"/>
  <c r="F142" i="5"/>
  <c r="E142" i="5"/>
  <c r="D142" i="5"/>
  <c r="C142" i="5"/>
  <c r="B142" i="5"/>
  <c r="A142" i="5"/>
  <c r="G141" i="5"/>
  <c r="F141" i="5"/>
  <c r="E141" i="5"/>
  <c r="D141" i="5"/>
  <c r="C141" i="5"/>
  <c r="B141" i="5"/>
  <c r="A141" i="5"/>
  <c r="H140" i="5"/>
  <c r="G140" i="5"/>
  <c r="F140" i="5"/>
  <c r="E140" i="5"/>
  <c r="D140" i="5"/>
  <c r="C140" i="5"/>
  <c r="B140" i="5"/>
  <c r="A140" i="5"/>
  <c r="H139" i="5"/>
  <c r="G139" i="5"/>
  <c r="F139" i="5"/>
  <c r="E139" i="5"/>
  <c r="D139" i="5"/>
  <c r="C139" i="5"/>
  <c r="B139" i="5"/>
  <c r="A139" i="5"/>
  <c r="G138" i="5"/>
  <c r="F138" i="5"/>
  <c r="E138" i="5"/>
  <c r="D138" i="5"/>
  <c r="C138" i="5"/>
  <c r="B138" i="5"/>
  <c r="A138" i="5"/>
  <c r="H137" i="5"/>
  <c r="G137" i="5"/>
  <c r="F137" i="5"/>
  <c r="E137" i="5"/>
  <c r="D137" i="5"/>
  <c r="C137" i="5"/>
  <c r="B137" i="5"/>
  <c r="A137" i="5"/>
  <c r="G136" i="5"/>
  <c r="F136" i="5"/>
  <c r="E136" i="5"/>
  <c r="D136" i="5"/>
  <c r="C136" i="5"/>
  <c r="B136" i="5"/>
  <c r="A136" i="5"/>
  <c r="G135" i="5"/>
  <c r="F135" i="5"/>
  <c r="E135" i="5"/>
  <c r="D135" i="5"/>
  <c r="C135" i="5"/>
  <c r="B135" i="5"/>
  <c r="A135" i="5"/>
  <c r="H134" i="5"/>
  <c r="G134" i="5"/>
  <c r="F134" i="5"/>
  <c r="E134" i="5"/>
  <c r="D134" i="5"/>
  <c r="C134" i="5"/>
  <c r="B134" i="5"/>
  <c r="A134" i="5"/>
  <c r="H133" i="5"/>
  <c r="G133" i="5"/>
  <c r="F133" i="5"/>
  <c r="E133" i="5"/>
  <c r="D133" i="5"/>
  <c r="C133" i="5"/>
  <c r="B133" i="5"/>
  <c r="A133" i="5"/>
  <c r="H132" i="5"/>
  <c r="G132" i="5"/>
  <c r="F132" i="5"/>
  <c r="E132" i="5"/>
  <c r="D132" i="5"/>
  <c r="C132" i="5"/>
  <c r="B132" i="5"/>
  <c r="A132" i="5"/>
  <c r="H131" i="5"/>
  <c r="G131" i="5"/>
  <c r="F131" i="5"/>
  <c r="E131" i="5"/>
  <c r="D131" i="5"/>
  <c r="C131" i="5"/>
  <c r="B131" i="5"/>
  <c r="A131" i="5"/>
  <c r="H130" i="5"/>
  <c r="G130" i="5"/>
  <c r="F130" i="5"/>
  <c r="E130" i="5"/>
  <c r="D130" i="5"/>
  <c r="C130" i="5"/>
  <c r="B130" i="5"/>
  <c r="A130" i="5"/>
  <c r="H129" i="5"/>
  <c r="G129" i="5"/>
  <c r="F129" i="5"/>
  <c r="E129" i="5"/>
  <c r="D129" i="5"/>
  <c r="C129" i="5"/>
  <c r="B129" i="5"/>
  <c r="A129" i="5"/>
  <c r="H128" i="5"/>
  <c r="G128" i="5"/>
  <c r="F128" i="5"/>
  <c r="E128" i="5"/>
  <c r="D128" i="5"/>
  <c r="C128" i="5"/>
  <c r="B128" i="5"/>
  <c r="A128" i="5"/>
  <c r="G127" i="5"/>
  <c r="F127" i="5"/>
  <c r="E127" i="5"/>
  <c r="D127" i="5"/>
  <c r="C127" i="5"/>
  <c r="B127" i="5"/>
  <c r="A127" i="5"/>
  <c r="H126" i="5"/>
  <c r="G126" i="5"/>
  <c r="F126" i="5"/>
  <c r="E126" i="5"/>
  <c r="D126" i="5"/>
  <c r="C126" i="5"/>
  <c r="B126" i="5"/>
  <c r="A126" i="5"/>
  <c r="H125" i="5"/>
  <c r="G125" i="5"/>
  <c r="F125" i="5"/>
  <c r="E125" i="5"/>
  <c r="D125" i="5"/>
  <c r="C125" i="5"/>
  <c r="B125" i="5"/>
  <c r="A125" i="5"/>
  <c r="G124" i="5"/>
  <c r="F124" i="5"/>
  <c r="E124" i="5"/>
  <c r="D124" i="5"/>
  <c r="C124" i="5"/>
  <c r="B124" i="5"/>
  <c r="A124" i="5"/>
  <c r="H123" i="5"/>
  <c r="G123" i="5"/>
  <c r="F123" i="5"/>
  <c r="E123" i="5"/>
  <c r="D123" i="5"/>
  <c r="C123" i="5"/>
  <c r="B123" i="5"/>
  <c r="A123" i="5"/>
  <c r="G122" i="5"/>
  <c r="F122" i="5"/>
  <c r="E122" i="5"/>
  <c r="D122" i="5"/>
  <c r="C122" i="5"/>
  <c r="B122" i="5"/>
  <c r="A122" i="5"/>
  <c r="G121" i="5"/>
  <c r="F121" i="5"/>
  <c r="E121" i="5"/>
  <c r="D121" i="5"/>
  <c r="C121" i="5"/>
  <c r="B121" i="5"/>
  <c r="A121" i="5"/>
  <c r="G120" i="5"/>
  <c r="F120" i="5"/>
  <c r="E120" i="5"/>
  <c r="D120" i="5"/>
  <c r="C120" i="5"/>
  <c r="B120" i="5"/>
  <c r="A120" i="5"/>
  <c r="G119" i="5"/>
  <c r="F119" i="5"/>
  <c r="E119" i="5"/>
  <c r="D119" i="5"/>
  <c r="C119" i="5"/>
  <c r="B119" i="5"/>
  <c r="A119" i="5"/>
  <c r="G118" i="5"/>
  <c r="F118" i="5"/>
  <c r="E118" i="5"/>
  <c r="D118" i="5"/>
  <c r="C118" i="5"/>
  <c r="B118" i="5"/>
  <c r="A118" i="5"/>
  <c r="H117" i="5"/>
  <c r="G117" i="5"/>
  <c r="F117" i="5"/>
  <c r="E117" i="5"/>
  <c r="D117" i="5"/>
  <c r="C117" i="5"/>
  <c r="B117" i="5"/>
  <c r="A117" i="5"/>
  <c r="H116" i="5"/>
  <c r="G116" i="5"/>
  <c r="F116" i="5"/>
  <c r="E116" i="5"/>
  <c r="D116" i="5"/>
  <c r="C116" i="5"/>
  <c r="B116" i="5"/>
  <c r="A116" i="5"/>
  <c r="H115" i="5"/>
  <c r="G115" i="5"/>
  <c r="F115" i="5"/>
  <c r="E115" i="5"/>
  <c r="D115" i="5"/>
  <c r="C115" i="5"/>
  <c r="B115" i="5"/>
  <c r="A115" i="5"/>
  <c r="H114" i="5"/>
  <c r="G114" i="5"/>
  <c r="F114" i="5"/>
  <c r="E114" i="5"/>
  <c r="D114" i="5"/>
  <c r="C114" i="5"/>
  <c r="B114" i="5"/>
  <c r="A114" i="5"/>
  <c r="G113" i="5"/>
  <c r="F113" i="5"/>
  <c r="E113" i="5"/>
  <c r="D113" i="5"/>
  <c r="C113" i="5"/>
  <c r="B113" i="5"/>
  <c r="A113" i="5"/>
  <c r="G112" i="5"/>
  <c r="F112" i="5"/>
  <c r="E112" i="5"/>
  <c r="D112" i="5"/>
  <c r="C112" i="5"/>
  <c r="B112" i="5"/>
  <c r="A112" i="5"/>
  <c r="H111" i="5"/>
  <c r="G111" i="5"/>
  <c r="F111" i="5"/>
  <c r="E111" i="5"/>
  <c r="D111" i="5"/>
  <c r="C111" i="5"/>
  <c r="B111" i="5"/>
  <c r="A111" i="5"/>
  <c r="H110" i="5"/>
  <c r="G110" i="5"/>
  <c r="F110" i="5"/>
  <c r="E110" i="5"/>
  <c r="D110" i="5"/>
  <c r="C110" i="5"/>
  <c r="B110" i="5"/>
  <c r="A110" i="5"/>
  <c r="G109" i="5"/>
  <c r="F109" i="5"/>
  <c r="E109" i="5"/>
  <c r="D109" i="5"/>
  <c r="C109" i="5"/>
  <c r="B109" i="5"/>
  <c r="A109" i="5"/>
  <c r="G108" i="5"/>
  <c r="F108" i="5"/>
  <c r="E108" i="5"/>
  <c r="D108" i="5"/>
  <c r="C108" i="5"/>
  <c r="B108" i="5"/>
  <c r="A108" i="5"/>
  <c r="H107" i="5"/>
  <c r="G107" i="5"/>
  <c r="F107" i="5"/>
  <c r="E107" i="5"/>
  <c r="D107" i="5"/>
  <c r="C107" i="5"/>
  <c r="B107" i="5"/>
  <c r="A107" i="5"/>
  <c r="H106" i="5"/>
  <c r="G106" i="5"/>
  <c r="F106" i="5"/>
  <c r="E106" i="5"/>
  <c r="D106" i="5"/>
  <c r="C106" i="5"/>
  <c r="B106" i="5"/>
  <c r="A106" i="5"/>
  <c r="H105" i="5"/>
  <c r="G105" i="5"/>
  <c r="F105" i="5"/>
  <c r="E105" i="5"/>
  <c r="D105" i="5"/>
  <c r="C105" i="5"/>
  <c r="B105" i="5"/>
  <c r="A105" i="5"/>
  <c r="H104" i="5"/>
  <c r="G104" i="5"/>
  <c r="F104" i="5"/>
  <c r="E104" i="5"/>
  <c r="D104" i="5"/>
  <c r="C104" i="5"/>
  <c r="B104" i="5"/>
  <c r="A104" i="5"/>
  <c r="G103" i="5"/>
  <c r="F103" i="5"/>
  <c r="E103" i="5"/>
  <c r="D103" i="5"/>
  <c r="C103" i="5"/>
  <c r="B103" i="5"/>
  <c r="A103" i="5"/>
  <c r="H102" i="5"/>
  <c r="G102" i="5"/>
  <c r="F102" i="5"/>
  <c r="E102" i="5"/>
  <c r="D102" i="5"/>
  <c r="C102" i="5"/>
  <c r="B102" i="5"/>
  <c r="A102" i="5"/>
  <c r="G101" i="5"/>
  <c r="F101" i="5"/>
  <c r="E101" i="5"/>
  <c r="D101" i="5"/>
  <c r="C101" i="5"/>
  <c r="B101" i="5"/>
  <c r="A101" i="5"/>
  <c r="G100" i="5"/>
  <c r="F100" i="5"/>
  <c r="E100" i="5"/>
  <c r="D100" i="5"/>
  <c r="C100" i="5"/>
  <c r="B100" i="5"/>
  <c r="A100" i="5"/>
  <c r="G99" i="5"/>
  <c r="F99" i="5"/>
  <c r="E99" i="5"/>
  <c r="D99" i="5"/>
  <c r="C99" i="5"/>
  <c r="B99" i="5"/>
  <c r="A99" i="5"/>
  <c r="G98" i="5"/>
  <c r="F98" i="5"/>
  <c r="E98" i="5"/>
  <c r="D98" i="5"/>
  <c r="C98" i="5"/>
  <c r="B98" i="5"/>
  <c r="A98" i="5"/>
  <c r="H97" i="5"/>
  <c r="G97" i="5"/>
  <c r="F97" i="5"/>
  <c r="E97" i="5"/>
  <c r="D97" i="5"/>
  <c r="C97" i="5"/>
  <c r="B97" i="5"/>
  <c r="A97" i="5"/>
  <c r="G96" i="5"/>
  <c r="F96" i="5"/>
  <c r="E96" i="5"/>
  <c r="D96" i="5"/>
  <c r="C96" i="5"/>
  <c r="B96" i="5"/>
  <c r="A96" i="5"/>
  <c r="G95" i="5"/>
  <c r="F95" i="5"/>
  <c r="E95" i="5"/>
  <c r="D95" i="5"/>
  <c r="C95" i="5"/>
  <c r="B95" i="5"/>
  <c r="A95" i="5"/>
  <c r="G94" i="5"/>
  <c r="F94" i="5"/>
  <c r="E94" i="5"/>
  <c r="D94" i="5"/>
  <c r="C94" i="5"/>
  <c r="B94" i="5"/>
  <c r="A94" i="5"/>
  <c r="G93" i="5"/>
  <c r="F93" i="5"/>
  <c r="E93" i="5"/>
  <c r="D93" i="5"/>
  <c r="C93" i="5"/>
  <c r="B93" i="5"/>
  <c r="A93" i="5"/>
  <c r="H92" i="5"/>
  <c r="G92" i="5"/>
  <c r="F92" i="5"/>
  <c r="E92" i="5"/>
  <c r="D92" i="5"/>
  <c r="C92" i="5"/>
  <c r="B92" i="5"/>
  <c r="A92" i="5"/>
  <c r="G91" i="5"/>
  <c r="F91" i="5"/>
  <c r="E91" i="5"/>
  <c r="D91" i="5"/>
  <c r="C91" i="5"/>
  <c r="B91" i="5"/>
  <c r="A91" i="5"/>
  <c r="G90" i="5"/>
  <c r="F90" i="5"/>
  <c r="E90" i="5"/>
  <c r="D90" i="5"/>
  <c r="C90" i="5"/>
  <c r="B90" i="5"/>
  <c r="A90" i="5"/>
  <c r="G89" i="5"/>
  <c r="F89" i="5"/>
  <c r="E89" i="5"/>
  <c r="D89" i="5"/>
  <c r="C89" i="5"/>
  <c r="B89" i="5"/>
  <c r="A89" i="5"/>
  <c r="G88" i="5"/>
  <c r="F88" i="5"/>
  <c r="E88" i="5"/>
  <c r="D88" i="5"/>
  <c r="C88" i="5"/>
  <c r="B88" i="5"/>
  <c r="A88" i="5"/>
  <c r="G87" i="5"/>
  <c r="F87" i="5"/>
  <c r="E87" i="5"/>
  <c r="D87" i="5"/>
  <c r="C87" i="5"/>
  <c r="B87" i="5"/>
  <c r="A87" i="5"/>
  <c r="H86" i="5"/>
  <c r="G86" i="5"/>
  <c r="F86" i="5"/>
  <c r="E86" i="5"/>
  <c r="D86" i="5"/>
  <c r="C86" i="5"/>
  <c r="B86" i="5"/>
  <c r="A86" i="5"/>
  <c r="G85" i="5"/>
  <c r="F85" i="5"/>
  <c r="E85" i="5"/>
  <c r="D85" i="5"/>
  <c r="C85" i="5"/>
  <c r="B85" i="5"/>
  <c r="A85" i="5"/>
  <c r="H84" i="5"/>
  <c r="G84" i="5"/>
  <c r="F84" i="5"/>
  <c r="E84" i="5"/>
  <c r="D84" i="5"/>
  <c r="C84" i="5"/>
  <c r="B84" i="5"/>
  <c r="A84" i="5"/>
  <c r="G83" i="5"/>
  <c r="F83" i="5"/>
  <c r="E83" i="5"/>
  <c r="D83" i="5"/>
  <c r="C83" i="5"/>
  <c r="B83" i="5"/>
  <c r="A83" i="5"/>
  <c r="G82" i="5"/>
  <c r="F82" i="5"/>
  <c r="E82" i="5"/>
  <c r="D82" i="5"/>
  <c r="C82" i="5"/>
  <c r="B82" i="5"/>
  <c r="A82" i="5"/>
  <c r="G81" i="5"/>
  <c r="F81" i="5"/>
  <c r="E81" i="5"/>
  <c r="D81" i="5"/>
  <c r="C81" i="5"/>
  <c r="B81" i="5"/>
  <c r="A81" i="5"/>
  <c r="H80" i="5"/>
  <c r="G80" i="5"/>
  <c r="F80" i="5"/>
  <c r="E80" i="5"/>
  <c r="D80" i="5"/>
  <c r="C80" i="5"/>
  <c r="B80" i="5"/>
  <c r="A80" i="5"/>
  <c r="G79" i="5"/>
  <c r="F79" i="5"/>
  <c r="E79" i="5"/>
  <c r="D79" i="5"/>
  <c r="C79" i="5"/>
  <c r="B79" i="5"/>
  <c r="A79" i="5"/>
  <c r="G78" i="5"/>
  <c r="F78" i="5"/>
  <c r="E78" i="5"/>
  <c r="D78" i="5"/>
  <c r="C78" i="5"/>
  <c r="B78" i="5"/>
  <c r="A78" i="5"/>
  <c r="H77" i="5"/>
  <c r="G77" i="5"/>
  <c r="F77" i="5"/>
  <c r="E77" i="5"/>
  <c r="D77" i="5"/>
  <c r="C77" i="5"/>
  <c r="B77" i="5"/>
  <c r="A77" i="5"/>
  <c r="H76" i="5"/>
  <c r="G76" i="5"/>
  <c r="F76" i="5"/>
  <c r="E76" i="5"/>
  <c r="D76" i="5"/>
  <c r="C76" i="5"/>
  <c r="B76" i="5"/>
  <c r="A76" i="5"/>
  <c r="H75" i="5"/>
  <c r="G75" i="5"/>
  <c r="F75" i="5"/>
  <c r="E75" i="5"/>
  <c r="D75" i="5"/>
  <c r="C75" i="5"/>
  <c r="B75" i="5"/>
  <c r="A75" i="5"/>
  <c r="G74" i="5"/>
  <c r="F74" i="5"/>
  <c r="E74" i="5"/>
  <c r="D74" i="5"/>
  <c r="C74" i="5"/>
  <c r="B74" i="5"/>
  <c r="A74" i="5"/>
  <c r="G73" i="5"/>
  <c r="F73" i="5"/>
  <c r="E73" i="5"/>
  <c r="D73" i="5"/>
  <c r="C73" i="5"/>
  <c r="B73" i="5"/>
  <c r="A73" i="5"/>
  <c r="H72" i="5"/>
  <c r="G72" i="5"/>
  <c r="F72" i="5"/>
  <c r="E72" i="5"/>
  <c r="D72" i="5"/>
  <c r="C72" i="5"/>
  <c r="B72" i="5"/>
  <c r="A72" i="5"/>
  <c r="G71" i="5"/>
  <c r="F71" i="5"/>
  <c r="E71" i="5"/>
  <c r="D71" i="5"/>
  <c r="C71" i="5"/>
  <c r="B71" i="5"/>
  <c r="A71" i="5"/>
  <c r="G70" i="5"/>
  <c r="F70" i="5"/>
  <c r="E70" i="5"/>
  <c r="D70" i="5"/>
  <c r="C70" i="5"/>
  <c r="B70" i="5"/>
  <c r="A70" i="5"/>
  <c r="G69" i="5"/>
  <c r="F69" i="5"/>
  <c r="E69" i="5"/>
  <c r="D69" i="5"/>
  <c r="C69" i="5"/>
  <c r="B69" i="5"/>
  <c r="A69" i="5"/>
  <c r="G68" i="5"/>
  <c r="F68" i="5"/>
  <c r="E68" i="5"/>
  <c r="D68" i="5"/>
  <c r="C68" i="5"/>
  <c r="B68" i="5"/>
  <c r="A68" i="5"/>
  <c r="G67" i="5"/>
  <c r="F67" i="5"/>
  <c r="E67" i="5"/>
  <c r="D67" i="5"/>
  <c r="C67" i="5"/>
  <c r="B67" i="5"/>
  <c r="A67" i="5"/>
  <c r="G66" i="5"/>
  <c r="F66" i="5"/>
  <c r="E66" i="5"/>
  <c r="D66" i="5"/>
  <c r="C66" i="5"/>
  <c r="B66" i="5"/>
  <c r="A66" i="5"/>
  <c r="G65" i="5"/>
  <c r="F65" i="5"/>
  <c r="E65" i="5"/>
  <c r="D65" i="5"/>
  <c r="C65" i="5"/>
  <c r="B65" i="5"/>
  <c r="A65" i="5"/>
  <c r="G64" i="5"/>
  <c r="F64" i="5"/>
  <c r="E64" i="5"/>
  <c r="D64" i="5"/>
  <c r="C64" i="5"/>
  <c r="B64" i="5"/>
  <c r="A64" i="5"/>
  <c r="G63" i="5"/>
  <c r="F63" i="5"/>
  <c r="E63" i="5"/>
  <c r="D63" i="5"/>
  <c r="C63" i="5"/>
  <c r="B63" i="5"/>
  <c r="A63" i="5"/>
  <c r="G62" i="5"/>
  <c r="F62" i="5"/>
  <c r="E62" i="5"/>
  <c r="D62" i="5"/>
  <c r="C62" i="5"/>
  <c r="B62" i="5"/>
  <c r="A62" i="5"/>
  <c r="G61" i="5"/>
  <c r="F61" i="5"/>
  <c r="E61" i="5"/>
  <c r="D61" i="5"/>
  <c r="C61" i="5"/>
  <c r="B61" i="5"/>
  <c r="A61" i="5"/>
  <c r="H60" i="5"/>
  <c r="G60" i="5"/>
  <c r="F60" i="5"/>
  <c r="E60" i="5"/>
  <c r="D60" i="5"/>
  <c r="C60" i="5"/>
  <c r="B60" i="5"/>
  <c r="A60" i="5"/>
  <c r="G59" i="5"/>
  <c r="F59" i="5"/>
  <c r="E59" i="5"/>
  <c r="D59" i="5"/>
  <c r="C59" i="5"/>
  <c r="B59" i="5"/>
  <c r="A59" i="5"/>
  <c r="G58" i="5"/>
  <c r="F58" i="5"/>
  <c r="E58" i="5"/>
  <c r="D58" i="5"/>
  <c r="C58" i="5"/>
  <c r="B58" i="5"/>
  <c r="A58" i="5"/>
  <c r="H57" i="5"/>
  <c r="G57" i="5"/>
  <c r="F57" i="5"/>
  <c r="E57" i="5"/>
  <c r="D57" i="5"/>
  <c r="C57" i="5"/>
  <c r="B57" i="5"/>
  <c r="A57" i="5"/>
  <c r="G56" i="5"/>
  <c r="F56" i="5"/>
  <c r="E56" i="5"/>
  <c r="D56" i="5"/>
  <c r="C56" i="5"/>
  <c r="B56" i="5"/>
  <c r="A56" i="5"/>
  <c r="G55" i="5"/>
  <c r="F55" i="5"/>
  <c r="E55" i="5"/>
  <c r="D55" i="5"/>
  <c r="C55" i="5"/>
  <c r="B55" i="5"/>
  <c r="A55" i="5"/>
  <c r="G54" i="5"/>
  <c r="F54" i="5"/>
  <c r="E54" i="5"/>
  <c r="D54" i="5"/>
  <c r="C54" i="5"/>
  <c r="B54" i="5"/>
  <c r="A54" i="5"/>
  <c r="G53" i="5"/>
  <c r="F53" i="5"/>
  <c r="E53" i="5"/>
  <c r="D53" i="5"/>
  <c r="C53" i="5"/>
  <c r="B53" i="5"/>
  <c r="A53" i="5"/>
  <c r="G52" i="5"/>
  <c r="F52" i="5"/>
  <c r="E52" i="5"/>
  <c r="D52" i="5"/>
  <c r="C52" i="5"/>
  <c r="B52" i="5"/>
  <c r="A52" i="5"/>
  <c r="G51" i="5"/>
  <c r="F51" i="5"/>
  <c r="E51" i="5"/>
  <c r="D51" i="5"/>
  <c r="C51" i="5"/>
  <c r="B51" i="5"/>
  <c r="A51" i="5"/>
  <c r="H50" i="5"/>
  <c r="G50" i="5"/>
  <c r="F50" i="5"/>
  <c r="E50" i="5"/>
  <c r="D50" i="5"/>
  <c r="C50" i="5"/>
  <c r="B50" i="5"/>
  <c r="A50" i="5"/>
  <c r="G49" i="5"/>
  <c r="F49" i="5"/>
  <c r="E49" i="5"/>
  <c r="D49" i="5"/>
  <c r="C49" i="5"/>
  <c r="B49" i="5"/>
  <c r="A49" i="5"/>
  <c r="G48" i="5"/>
  <c r="F48" i="5"/>
  <c r="E48" i="5"/>
  <c r="D48" i="5"/>
  <c r="C48" i="5"/>
  <c r="B48" i="5"/>
  <c r="A48" i="5"/>
  <c r="G47" i="5"/>
  <c r="F47" i="5"/>
  <c r="E47" i="5"/>
  <c r="D47" i="5"/>
  <c r="C47" i="5"/>
  <c r="B47" i="5"/>
  <c r="A47" i="5"/>
  <c r="H46" i="5"/>
  <c r="G46" i="5"/>
  <c r="F46" i="5"/>
  <c r="E46" i="5"/>
  <c r="D46" i="5"/>
  <c r="C46" i="5"/>
  <c r="B46" i="5"/>
  <c r="A46" i="5"/>
  <c r="H45" i="5"/>
  <c r="G45" i="5"/>
  <c r="F45" i="5"/>
  <c r="E45" i="5"/>
  <c r="D45" i="5"/>
  <c r="C45" i="5"/>
  <c r="B45" i="5"/>
  <c r="A45" i="5"/>
  <c r="G44" i="5"/>
  <c r="F44" i="5"/>
  <c r="E44" i="5"/>
  <c r="D44" i="5"/>
  <c r="C44" i="5"/>
  <c r="B44" i="5"/>
  <c r="A44" i="5"/>
  <c r="G43" i="5"/>
  <c r="F43" i="5"/>
  <c r="E43" i="5"/>
  <c r="D43" i="5"/>
  <c r="C43" i="5"/>
  <c r="B43" i="5"/>
  <c r="A43" i="5"/>
  <c r="G42" i="5"/>
  <c r="F42" i="5"/>
  <c r="E42" i="5"/>
  <c r="D42" i="5"/>
  <c r="C42" i="5"/>
  <c r="B42" i="5"/>
  <c r="A42" i="5"/>
  <c r="G41" i="5"/>
  <c r="F41" i="5"/>
  <c r="E41" i="5"/>
  <c r="D41" i="5"/>
  <c r="C41" i="5"/>
  <c r="B41" i="5"/>
  <c r="A41" i="5"/>
  <c r="G40" i="5"/>
  <c r="F40" i="5"/>
  <c r="E40" i="5"/>
  <c r="D40" i="5"/>
  <c r="C40" i="5"/>
  <c r="B40" i="5"/>
  <c r="A40" i="5"/>
  <c r="H39" i="5"/>
  <c r="G39" i="5"/>
  <c r="F39" i="5"/>
  <c r="E39" i="5"/>
  <c r="D39" i="5"/>
  <c r="C39" i="5"/>
  <c r="B39" i="5"/>
  <c r="A39" i="5"/>
  <c r="H38" i="5"/>
  <c r="G38" i="5"/>
  <c r="F38" i="5"/>
  <c r="E38" i="5"/>
  <c r="D38" i="5"/>
  <c r="C38" i="5"/>
  <c r="B38" i="5"/>
  <c r="A38" i="5"/>
  <c r="H37" i="5"/>
  <c r="G37" i="5"/>
  <c r="F37" i="5"/>
  <c r="E37" i="5"/>
  <c r="D37" i="5"/>
  <c r="C37" i="5"/>
  <c r="B37" i="5"/>
  <c r="A37" i="5"/>
  <c r="G36" i="5"/>
  <c r="F36" i="5"/>
  <c r="E36" i="5"/>
  <c r="D36" i="5"/>
  <c r="C36" i="5"/>
  <c r="B36" i="5"/>
  <c r="A36" i="5"/>
  <c r="G35" i="5"/>
  <c r="F35" i="5"/>
  <c r="E35" i="5"/>
  <c r="D35" i="5"/>
  <c r="C35" i="5"/>
  <c r="B35" i="5"/>
  <c r="A35" i="5"/>
  <c r="G34" i="5"/>
  <c r="F34" i="5"/>
  <c r="E34" i="5"/>
  <c r="D34" i="5"/>
  <c r="C34" i="5"/>
  <c r="B34" i="5"/>
  <c r="A34" i="5"/>
  <c r="G33" i="5"/>
  <c r="F33" i="5"/>
  <c r="E33" i="5"/>
  <c r="D33" i="5"/>
  <c r="C33" i="5"/>
  <c r="B33" i="5"/>
  <c r="A33" i="5"/>
  <c r="G32" i="5"/>
  <c r="F32" i="5"/>
  <c r="E32" i="5"/>
  <c r="D32" i="5"/>
  <c r="C32" i="5"/>
  <c r="B32" i="5"/>
  <c r="A32" i="5"/>
  <c r="G31" i="5"/>
  <c r="F31" i="5"/>
  <c r="E31" i="5"/>
  <c r="D31" i="5"/>
  <c r="C31" i="5"/>
  <c r="B31" i="5"/>
  <c r="A31" i="5"/>
  <c r="G30" i="5"/>
  <c r="F30" i="5"/>
  <c r="E30" i="5"/>
  <c r="D30" i="5"/>
  <c r="C30" i="5"/>
  <c r="B30" i="5"/>
  <c r="A30" i="5"/>
  <c r="H29" i="5"/>
  <c r="G29" i="5"/>
  <c r="F29" i="5"/>
  <c r="E29" i="5"/>
  <c r="D29" i="5"/>
  <c r="C29" i="5"/>
  <c r="B29" i="5"/>
  <c r="A29" i="5"/>
  <c r="H28" i="5"/>
  <c r="G28" i="5"/>
  <c r="F28" i="5"/>
  <c r="E28" i="5"/>
  <c r="D28" i="5"/>
  <c r="C28" i="5"/>
  <c r="B28" i="5"/>
  <c r="A28" i="5"/>
  <c r="H27" i="5"/>
  <c r="G27" i="5"/>
  <c r="F27" i="5"/>
  <c r="E27" i="5"/>
  <c r="D27" i="5"/>
  <c r="C27" i="5"/>
  <c r="B27" i="5"/>
  <c r="A27" i="5"/>
  <c r="G26" i="5"/>
  <c r="F26" i="5"/>
  <c r="E26" i="5"/>
  <c r="D26" i="5"/>
  <c r="C26" i="5"/>
  <c r="B26" i="5"/>
  <c r="A26" i="5"/>
  <c r="H25" i="5"/>
  <c r="G25" i="5"/>
  <c r="F25" i="5"/>
  <c r="E25" i="5"/>
  <c r="D25" i="5"/>
  <c r="C25" i="5"/>
  <c r="B25" i="5"/>
  <c r="A25" i="5"/>
  <c r="G24" i="5"/>
  <c r="F24" i="5"/>
  <c r="E24" i="5"/>
  <c r="D24" i="5"/>
  <c r="C24" i="5"/>
  <c r="B24" i="5"/>
  <c r="A24" i="5"/>
  <c r="G23" i="5"/>
  <c r="F23" i="5"/>
  <c r="E23" i="5"/>
  <c r="D23" i="5"/>
  <c r="C23" i="5"/>
  <c r="B23" i="5"/>
  <c r="A23" i="5"/>
  <c r="G22" i="5"/>
  <c r="F22" i="5"/>
  <c r="E22" i="5"/>
  <c r="D22" i="5"/>
  <c r="C22" i="5"/>
  <c r="B22" i="5"/>
  <c r="A22" i="5"/>
  <c r="G21" i="5"/>
  <c r="F21" i="5"/>
  <c r="E21" i="5"/>
  <c r="D21" i="5"/>
  <c r="C21" i="5"/>
  <c r="B21" i="5"/>
  <c r="A21" i="5"/>
  <c r="G20" i="5"/>
  <c r="F20" i="5"/>
  <c r="E20" i="5"/>
  <c r="D20" i="5"/>
  <c r="C20" i="5"/>
  <c r="B20" i="5"/>
  <c r="A20" i="5"/>
  <c r="G19" i="5"/>
  <c r="F19" i="5"/>
  <c r="E19" i="5"/>
  <c r="D19" i="5"/>
  <c r="C19" i="5"/>
  <c r="B19" i="5"/>
  <c r="A19" i="5"/>
  <c r="G18" i="5"/>
  <c r="F18" i="5"/>
  <c r="E18" i="5"/>
  <c r="D18" i="5"/>
  <c r="C18" i="5"/>
  <c r="B18" i="5"/>
  <c r="A18" i="5"/>
  <c r="G17" i="5"/>
  <c r="F17" i="5"/>
  <c r="E17" i="5"/>
  <c r="D17" i="5"/>
  <c r="C17" i="5"/>
  <c r="B17" i="5"/>
  <c r="A17" i="5"/>
  <c r="G16" i="5"/>
  <c r="F16" i="5"/>
  <c r="E16" i="5"/>
  <c r="D16" i="5"/>
  <c r="C16" i="5"/>
  <c r="B16" i="5"/>
  <c r="A16" i="5"/>
  <c r="H15" i="5"/>
  <c r="G15" i="5"/>
  <c r="F15" i="5"/>
  <c r="E15" i="5"/>
  <c r="D15" i="5"/>
  <c r="C15" i="5"/>
  <c r="B15" i="5"/>
  <c r="A15" i="5"/>
  <c r="H14" i="5"/>
  <c r="G14" i="5"/>
  <c r="F14" i="5"/>
  <c r="E14" i="5"/>
  <c r="D14" i="5"/>
  <c r="C14" i="5"/>
  <c r="B14" i="5"/>
  <c r="A14" i="5"/>
  <c r="H13" i="5"/>
  <c r="G13" i="5"/>
  <c r="F13" i="5"/>
  <c r="E13" i="5"/>
  <c r="D13" i="5"/>
  <c r="C13" i="5"/>
  <c r="B13" i="5"/>
  <c r="A13" i="5"/>
  <c r="G12" i="5"/>
  <c r="F12" i="5"/>
  <c r="E12" i="5"/>
  <c r="D12" i="5"/>
  <c r="C12" i="5"/>
  <c r="B12" i="5"/>
  <c r="A12" i="5"/>
  <c r="G11" i="5"/>
  <c r="F11" i="5"/>
  <c r="E11" i="5"/>
  <c r="D11" i="5"/>
  <c r="C11" i="5"/>
  <c r="B11" i="5"/>
  <c r="A11" i="5"/>
  <c r="G10" i="5"/>
  <c r="F10" i="5"/>
  <c r="E10" i="5"/>
  <c r="D10" i="5"/>
  <c r="C10" i="5"/>
  <c r="B10" i="5"/>
  <c r="A10" i="5"/>
  <c r="G9" i="5"/>
  <c r="F9" i="5"/>
  <c r="E9" i="5"/>
  <c r="D9" i="5"/>
  <c r="C9" i="5"/>
  <c r="B9" i="5"/>
  <c r="A9" i="5"/>
  <c r="G8" i="5"/>
  <c r="F8" i="5"/>
  <c r="E8" i="5"/>
  <c r="D8" i="5"/>
  <c r="C8" i="5"/>
  <c r="B8" i="5"/>
  <c r="A8" i="5"/>
  <c r="G7" i="5"/>
  <c r="F7" i="5"/>
  <c r="E7" i="5"/>
  <c r="D7" i="5"/>
  <c r="C7" i="5"/>
  <c r="B7" i="5"/>
  <c r="A7" i="5"/>
  <c r="G6" i="5"/>
  <c r="F6" i="5"/>
  <c r="E6" i="5"/>
  <c r="D6" i="5"/>
  <c r="C6" i="5"/>
  <c r="B6" i="5"/>
  <c r="A6" i="5"/>
  <c r="G5" i="5"/>
  <c r="F5" i="5"/>
  <c r="E5" i="5"/>
  <c r="D5" i="5"/>
  <c r="C5" i="5"/>
  <c r="B5" i="5"/>
  <c r="A5" i="5"/>
  <c r="G4" i="5"/>
  <c r="F4" i="5"/>
  <c r="E4" i="5"/>
  <c r="D4" i="5"/>
  <c r="C4" i="5"/>
  <c r="B4" i="5"/>
  <c r="A4" i="5"/>
  <c r="G3" i="5"/>
  <c r="F3" i="5"/>
  <c r="E3" i="5"/>
  <c r="D3" i="5"/>
  <c r="C3" i="5"/>
  <c r="B3" i="5"/>
  <c r="A3" i="5"/>
  <c r="H2" i="5"/>
  <c r="G2" i="5"/>
  <c r="F2" i="5"/>
  <c r="E2" i="5"/>
  <c r="D2" i="5"/>
  <c r="C2" i="5"/>
  <c r="B2" i="5"/>
  <c r="A2" i="5"/>
</calcChain>
</file>

<file path=xl/sharedStrings.xml><?xml version="1.0" encoding="utf-8"?>
<sst xmlns="http://schemas.openxmlformats.org/spreadsheetml/2006/main" count="7073" uniqueCount="3628">
  <si>
    <t>書名</t>
  </si>
  <si>
    <t>索書號</t>
  </si>
  <si>
    <t>實踐醫學人文的可能 /</t>
  </si>
  <si>
    <t xml:space="preserve">別把醫師當做神 : 一位優秀醫師的真誠反省 / </t>
  </si>
  <si>
    <t>醫生對你隱瞞了什麼? /</t>
  </si>
  <si>
    <t>生命教我的事 /</t>
  </si>
  <si>
    <t>奇美醫學中心四十週年專刊</t>
  </si>
  <si>
    <t>白天使向前走 :陪伴白化症者成長的最佳指南 /</t>
  </si>
  <si>
    <t>重要的約定 /</t>
  </si>
  <si>
    <t>醫步醫腳印 /</t>
  </si>
  <si>
    <t>晚安.美人 /</t>
  </si>
  <si>
    <t>與我同行 /</t>
  </si>
  <si>
    <t xml:space="preserve">生命相髓 / </t>
  </si>
  <si>
    <t>與健康有約</t>
  </si>
  <si>
    <t>最後的邀請 :父予子的告別禮物 /</t>
  </si>
  <si>
    <t>拼圖人 :一個器官移植外科醫師的回憶錄 /</t>
  </si>
  <si>
    <t>情深到來生 :安寧照顧 /</t>
  </si>
  <si>
    <t>攀越魔術山 :罕見疾病FOP的試煉與祝福 /</t>
  </si>
  <si>
    <t>白色巨塔之奇異恩典 :□大內科主治醫師廖永祥的奇妙一生 /</t>
  </si>
  <si>
    <t>草地醫生 /</t>
  </si>
  <si>
    <t xml:space="preserve">24個天才.11個意外 : 改變歷史的諾貝爾生醫獎得主與醫學故事 / </t>
  </si>
  <si>
    <t>器官神話 :一個外科醫生的奇遇 /</t>
  </si>
  <si>
    <t>女醫花道 /</t>
  </si>
  <si>
    <t>手術室裡的秘密 :外科醫師沒告訴你的事 /</t>
  </si>
  <si>
    <t xml:space="preserve">醫學趣談 / </t>
  </si>
  <si>
    <t xml:space="preserve">錯把太太當帽子的人 / </t>
  </si>
  <si>
    <t>跳蚤醫院手記 : 澎湖醫生的妙聞奇遇</t>
  </si>
  <si>
    <t xml:space="preserve">120度天空 / </t>
  </si>
  <si>
    <t>直覺 /</t>
  </si>
  <si>
    <t>學校沒教我的36堂課 :一位進行性肌肉萎縮症者的病房手札 /</t>
  </si>
  <si>
    <t>護理生涯札記 =Nursing notes /</t>
  </si>
  <si>
    <t>使命與心的極限 /</t>
  </si>
  <si>
    <t>墨瑞的11則心靈箴言 /</t>
  </si>
  <si>
    <t>我的潛能,無限 :活出愛與夢想的八堂課 /</t>
  </si>
  <si>
    <t>貝納德的墮落 /</t>
  </si>
  <si>
    <t>RU 486 :女性的選擇, 美服錠的歷史 /</t>
  </si>
  <si>
    <t xml:space="preserve">轉念,大愛,讓生命延續 / </t>
  </si>
  <si>
    <t xml:space="preserve">白袍?白杖 : 百年來第一位盲人醫師的奮鬥歷程 / </t>
  </si>
  <si>
    <t>天心月圓:心澂的故事</t>
  </si>
  <si>
    <t>海洋心情 :一本為珍重生命而寫的 AIDS 文學備忘錄 /</t>
  </si>
  <si>
    <t>小婦人的化療日記 /</t>
  </si>
  <si>
    <t>生命在呼吸之間 :胸腔科病房的真情故事 /</t>
  </si>
  <si>
    <t xml:space="preserve">對不起,來不及陪你長大 / </t>
  </si>
  <si>
    <t>挖蟲草的女孩 /</t>
  </si>
  <si>
    <t>卡羅.歐巴尼醫師傳奇 : 最先發現SARS病毒並為之捐軀的傑出醫生</t>
  </si>
  <si>
    <t>小鎮醫師的生命課題 :臨終關懷,是我人生中最美好的經驗 /</t>
  </si>
  <si>
    <t>面對 /</t>
  </si>
  <si>
    <t>不存在的女兒 /</t>
  </si>
  <si>
    <t>當傷痛來臨 :陪伴的修練 /</t>
  </si>
  <si>
    <t>德蕾莎修女 :來作我的光 /</t>
  </si>
  <si>
    <t>臺大群芳 :12位傑出女校友的故事 /</t>
  </si>
  <si>
    <t>好想再一次,聽媽媽的話 :「一碗陽春麵的故事」二部曲 /</t>
  </si>
  <si>
    <t>好想再見妳一面 /</t>
  </si>
  <si>
    <t>向殘酷的仁慈說再見 :一位加護病房醫師的善終宣言 /</t>
  </si>
  <si>
    <t>愛在病房蔓延時 :志工在醫院 /</t>
  </si>
  <si>
    <t>破碎臉天使心 /</t>
  </si>
  <si>
    <t>愛,聲聲不息 :雅文基金會與15位聲損兒童的生命故事 /</t>
  </si>
  <si>
    <t>安寧舵手 :陳榮基化醫為愛的生命故事 /</t>
  </si>
  <si>
    <t>瘟疫與人:傳染病對人類歷史的衝擊</t>
  </si>
  <si>
    <t>生病,生病,why? :解開疾病之謎的新科學「演化醫學」 /</t>
  </si>
  <si>
    <t xml:space="preserve">回家的路是這樣走的 : 無國界醫生在葉門 / </t>
  </si>
  <si>
    <t xml:space="preserve">當綠葉緩緩落下 : 生死學大師的最後對話 / </t>
  </si>
  <si>
    <t>死亡教我的歌 :一個癌症家族的故事 /</t>
  </si>
  <si>
    <t>學佛與行醫 /</t>
  </si>
  <si>
    <t>走在失落的幽谷 :悲傷因應指引手冊 /</t>
  </si>
  <si>
    <t>Orange媽媽 :四分之三的幸福 /</t>
  </si>
  <si>
    <t>住在月亮上的女孩 /</t>
  </si>
  <si>
    <t>太陽之歌 /</t>
  </si>
  <si>
    <t>一定要看名醫嗎? :臺大醫學博士教你看病要領 /</t>
  </si>
  <si>
    <t>卡娣的幸福 /</t>
  </si>
  <si>
    <t>醫生 =Doctor /</t>
  </si>
  <si>
    <t>醫者情懷 /</t>
  </si>
  <si>
    <t>你走了以後 /</t>
  </si>
  <si>
    <t>莫妮卡的芒果雨 /</t>
  </si>
  <si>
    <t>接生天國寶寶的助產士 :對臨終病人的靈性關懷 /</t>
  </si>
  <si>
    <t>天使遺留的筆記 /</t>
  </si>
  <si>
    <t>談醫病關係 :從理論到50位名人的見證 /</t>
  </si>
  <si>
    <t>換心 /</t>
  </si>
  <si>
    <t>醫學神探 /</t>
  </si>
  <si>
    <t xml:space="preserve">實習醫生 / </t>
  </si>
  <si>
    <t>生命如彩虹 :千里換肝記 /</t>
  </si>
  <si>
    <t>869天的腦瘤日記 /</t>
  </si>
  <si>
    <t>35歲的生日禮物 :Iverson抗癌日記 /</t>
  </si>
  <si>
    <t>神的病歷簿 /</t>
  </si>
  <si>
    <t>生命之書 :365日的靜心冥想 /</t>
  </si>
  <si>
    <t xml:space="preserve">守護4141個心跳 / </t>
  </si>
  <si>
    <t>漸漸懂了你的心 :安寧陪伴入門20課 /</t>
  </si>
  <si>
    <t>好想再牽爸爸的大手 /</t>
  </si>
  <si>
    <t xml:space="preserve">奇蹟 / </t>
  </si>
  <si>
    <t xml:space="preserve">明日的記憶 / </t>
  </si>
  <si>
    <t>歷史教我的醫學 :16堂經典醫學史 /</t>
  </si>
  <si>
    <t>罹癌母親給的七堂課 /</t>
  </si>
  <si>
    <t>活出愛 :單國璽樞機主教的傳奇故事 /</t>
  </si>
  <si>
    <t>安寧病房,殺手勿進 /</t>
  </si>
  <si>
    <t>心的召喚 愛的回響 =第十七、十八屆醫療奉獻獎得主剪影 /</t>
  </si>
  <si>
    <t>生命的期末考 /</t>
  </si>
  <si>
    <t xml:space="preserve">死亡的尊嚴與生命的尊嚴 : 從臨終精神醫學到現代生死學 / </t>
  </si>
  <si>
    <t>寸草心 :一位神經科教授照顧年邁失智母親的心路歷程 /</t>
  </si>
  <si>
    <t xml:space="preserve">腦袋裝了2000齣歌劇的人 / </t>
  </si>
  <si>
    <t>心靈醫療 /</t>
  </si>
  <si>
    <t>火星上的人類學家 /</t>
  </si>
  <si>
    <t xml:space="preserve">假如我死時，你不在我身旁 / </t>
  </si>
  <si>
    <t>爸爸,我們去哪裡? /</t>
  </si>
  <si>
    <t>重生 :我打敗了脊椎裡的惡魔! /</t>
  </si>
  <si>
    <t>當醫生的老師 /</t>
  </si>
  <si>
    <t>診療室裡的福爾摩斯 :解開病歷表外的身體密碼 /</t>
  </si>
  <si>
    <t>100萬分之一的戀人 =Huntington's disease /</t>
  </si>
  <si>
    <t xml:space="preserve">15位醫師抗病記 / </t>
  </si>
  <si>
    <t xml:space="preserve">誰先來? : 在自己身上做實驗的醫生 / </t>
  </si>
  <si>
    <t>理想的醫療國度 :瀨戶山院長的醫療改革之路 /</t>
  </si>
  <si>
    <t>死前活一次 /</t>
  </si>
  <si>
    <t xml:space="preserve">認真?用心?作防疫 : 921震災防疫手記 / </t>
  </si>
  <si>
    <t>我的第三隻腳 /</t>
  </si>
  <si>
    <t xml:space="preserve">我的病患老師 / </t>
  </si>
  <si>
    <t>找到勇氣活下去 /</t>
  </si>
  <si>
    <t>醫生這件事 /</t>
  </si>
  <si>
    <t>借來的時間 :愛滋病患的追思錄 /</t>
  </si>
  <si>
    <t>看病的方法 /</t>
  </si>
  <si>
    <t>來不及告訴女兒的事 /</t>
  </si>
  <si>
    <t>小心輕放 /</t>
  </si>
  <si>
    <t>死亡手術室 /</t>
  </si>
  <si>
    <t>這醫生多花樣 =The doctor is in 2 /</t>
  </si>
  <si>
    <t>好走 :臨終時刻的心靈轉化 /</t>
  </si>
  <si>
    <t>和你在一起 /</t>
  </si>
  <si>
    <t>以愛為管理 :慈濟醫療管理人文 /</t>
  </si>
  <si>
    <t>白色榮光 /</t>
  </si>
  <si>
    <t xml:space="preserve">無語良師. 89 / </t>
  </si>
  <si>
    <t>白噪音 /</t>
  </si>
  <si>
    <t>人生更開闊</t>
  </si>
  <si>
    <t xml:space="preserve">星期三是藍色的 / </t>
  </si>
  <si>
    <t xml:space="preserve">再給我一天 / </t>
  </si>
  <si>
    <t>生命最後一個月的花嫁 /</t>
  </si>
  <si>
    <t>志為人醫─醫學拓荒故事</t>
  </si>
  <si>
    <t>強悍弱女子 :曾晴教我的八堂課 /</t>
  </si>
  <si>
    <t>吶喊奇蹟 :一位女主播的抗癌記錄 /</t>
  </si>
  <si>
    <t>關懷心?感恩情─921震後48小時醫療手記</t>
  </si>
  <si>
    <t>大醫院小醫生 /</t>
  </si>
  <si>
    <t>蘭大衛醫生與百年醫療宣教史</t>
  </si>
  <si>
    <t>神探.法醫 :楊日松 /</t>
  </si>
  <si>
    <t>16歲的最後心願 /</t>
  </si>
  <si>
    <t>奇蹟男孩 /</t>
  </si>
  <si>
    <t xml:space="preserve">生命的尊嚴 : 探討醫療之心 / </t>
  </si>
  <si>
    <t>我創造了桃莉! :從複製羊談生命再造與基因工程 /</t>
  </si>
  <si>
    <t xml:space="preserve">搶救心跳 : 心臟名醫羅恩的治療藝術 / </t>
  </si>
  <si>
    <t>心蓮心語：安寧療護與生死學</t>
  </si>
  <si>
    <t xml:space="preserve">現代醫學在台灣 : 台灣醫學會百年見證 / </t>
  </si>
  <si>
    <t>生死自在 /</t>
  </si>
  <si>
    <t>花落蓮成自在心</t>
  </si>
  <si>
    <t>一片葉子落下來</t>
  </si>
  <si>
    <t>我想念我自己 /</t>
  </si>
  <si>
    <t>失去你以後 /</t>
  </si>
  <si>
    <t>無語良師</t>
  </si>
  <si>
    <t>醫生 =Doctor :</t>
  </si>
  <si>
    <t>壯志與堅持 :許子秋與臺灣公共衛生 /</t>
  </si>
  <si>
    <t xml:space="preserve">然後呢... / </t>
  </si>
  <si>
    <t>陪妳到最後 /</t>
  </si>
  <si>
    <t>Alexandra Hospital :from British military to civilian institution, 1938-1998 /</t>
  </si>
  <si>
    <t>南丁格爾手記2是誰在遠處吹醒了那一支號角? /</t>
  </si>
  <si>
    <t>聽疼痛說話 :神經外科的13個故事 /</t>
  </si>
  <si>
    <t xml:space="preserve">醫院裡的哲學家 / </t>
  </si>
  <si>
    <t>難以承受的告別 :自殺者親友的哀傷旅程 /</t>
  </si>
  <si>
    <t xml:space="preserve">你可以更靠近我 : 教孩子怎樣看待生命與死亡 / </t>
  </si>
  <si>
    <t>希望城的春天 /</t>
  </si>
  <si>
    <t>來自靈界的答案 :讓我們超越生死無常的靈界真相 /</t>
  </si>
  <si>
    <t>一個超越天堂的地方 /</t>
  </si>
  <si>
    <t>樹在天堂等著你 /</t>
  </si>
  <si>
    <t>望醫心切 :張錦文與臺灣醫院的成長 /</t>
  </si>
  <si>
    <t>一個安寧醫生的手札：在心蓮病房的故事2/</t>
  </si>
  <si>
    <t xml:space="preserve">在心蓮病房的故事 / </t>
  </si>
  <si>
    <t>佛法與醫學 /</t>
  </si>
  <si>
    <t>末那催眠 =Mano hypnotherapy :</t>
  </si>
  <si>
    <t>與簡副院長談天 /</t>
  </si>
  <si>
    <t>我的教育、我的醫學之路 /</t>
  </si>
  <si>
    <t xml:space="preserve">醫者之路 : 台灣肝炎鼻祖宋瑞樓傳 / </t>
  </si>
  <si>
    <t>我還活著 :在心蓮病房的故事 /</t>
  </si>
  <si>
    <t>醫生也醫死 /</t>
  </si>
  <si>
    <t>心靈點滴：安寧團隊感言/</t>
  </si>
  <si>
    <t xml:space="preserve">最後14堂星期二的課 / </t>
  </si>
  <si>
    <t xml:space="preserve">生命相髓. 二 / </t>
  </si>
  <si>
    <t>你的醫療選擇權 :劉大元談能量整合醫學 /</t>
  </si>
  <si>
    <t>醫藥真言 /</t>
  </si>
  <si>
    <t>打破沈默 :幫助孩子走出悲傷 /</t>
  </si>
  <si>
    <t>用最好的方式向生命揮別 :臨終照顧與安寧療護 /</t>
  </si>
  <si>
    <t>傳光 =Florence Nightingale :</t>
  </si>
  <si>
    <t>安寧的藝術 :在生命暗處點燈 /</t>
  </si>
  <si>
    <t>心靈病房的十八堂課 /</t>
  </si>
  <si>
    <t>溫馨堅實的腳印: 台灣婦幼衛生的故事</t>
  </si>
  <si>
    <t>百年彰基院史文物史料記錄/</t>
  </si>
  <si>
    <t>站在生命臨界點</t>
  </si>
  <si>
    <t>淡定與積極 /</t>
  </si>
  <si>
    <t>做個健康快樂的智慧人 /</t>
  </si>
  <si>
    <t>超越心靈  超越愛/</t>
  </si>
  <si>
    <t>赤子心鄉土情: 追憶歐陽培銓教授</t>
  </si>
  <si>
    <t xml:space="preserve">最後的禮物 / </t>
  </si>
  <si>
    <t>醫療傳愛無國界.屏基感恩五十年: 醫療傳愛無國界.屏基感恩五十年</t>
  </si>
  <si>
    <t>給生命一個希望 /</t>
  </si>
  <si>
    <t>解開疾病的迷思 /</t>
  </si>
  <si>
    <t xml:space="preserve">照亮黑暗角落 : 傾聽疾病,消除臺灣社會偏見 / </t>
  </si>
  <si>
    <t>和平抗SARS實錄 /</t>
  </si>
  <si>
    <t>生命的臉 /</t>
  </si>
  <si>
    <t>仁心仁術 :世界知名神經外科醫師愛心的故事 /</t>
  </si>
  <si>
    <t>風中的波斯菊 :林媽利的生命故事 /</t>
  </si>
  <si>
    <t xml:space="preserve">因為，你聽見了我 / </t>
  </si>
  <si>
    <t>不要叫我醫生 :一個實習醫生的真情告白 /</t>
  </si>
  <si>
    <t>最衰者生存 /</t>
  </si>
  <si>
    <t>情緒遊戲 /</t>
  </si>
  <si>
    <t>醫師的深情書 /</t>
  </si>
  <si>
    <t>愛,使生命動聽 /</t>
  </si>
  <si>
    <t>星空下飛翔的教授 :翁景民最後的197天 /</t>
  </si>
  <si>
    <t>死亡檔案禁地 /</t>
  </si>
  <si>
    <t>游牧醫師 /</t>
  </si>
  <si>
    <t>知情同意常見問答集Q&amp;A /</t>
  </si>
  <si>
    <t>醫者的智慧 :漫漫醫學路 /</t>
  </si>
  <si>
    <t>當醫生變成病人 /</t>
  </si>
  <si>
    <t xml:space="preserve">哈佛醫師之路 / </t>
  </si>
  <si>
    <t>癌症告知的藝術 /</t>
  </si>
  <si>
    <t xml:space="preserve">用心聆聽 : 黃達夫改寫醫病關係 / </t>
  </si>
  <si>
    <t>理想的國度 :吳德朗醫師回憶錄 /</t>
  </si>
  <si>
    <t>在世界的中心呼喊愛情 /</t>
  </si>
  <si>
    <t>永遠的微笑 =Forever smile /</t>
  </si>
  <si>
    <t>臺灣婦產科的播種者 :陳庵君回憶錄 /</t>
  </si>
  <si>
    <t>不再嘆息: 斯里蘭卡的人醫足跡</t>
  </si>
  <si>
    <t xml:space="preserve">神經外科的黑色喜劇 / </t>
  </si>
  <si>
    <t xml:space="preserve">人道醫療 / </t>
  </si>
  <si>
    <t xml:space="preserve">當醫生遇見Siki / </t>
  </si>
  <si>
    <t>紙上診所 /</t>
  </si>
  <si>
    <t>從月亮來的男孩 /</t>
  </si>
  <si>
    <t>醫療概論 /</t>
  </si>
  <si>
    <t>從未保留的醫情: 郭國銓七十歲生日紀念專輯</t>
  </si>
  <si>
    <t>新樓情．舊相簿</t>
  </si>
  <si>
    <t>堅持2神經醫學教育 /</t>
  </si>
  <si>
    <t>舞生命風采：大林慈濟醫院 愛的記憶簿/</t>
  </si>
  <si>
    <t>看診法門 :醫師之說明、注意與其他義務 /</t>
  </si>
  <si>
    <t>護理事故的理論與實例 /</t>
  </si>
  <si>
    <t>白色巨塔 /</t>
  </si>
  <si>
    <t>給像花朵的你: 為生命小鬥士加油</t>
  </si>
  <si>
    <t>最稚齡的科學 :一位偉大醫師的觀察手記 /</t>
  </si>
  <si>
    <t>穿透死亡 =Penetrating death /</t>
  </si>
  <si>
    <t>時間等候區 :醫生與病人的希望之旅 /</t>
  </si>
  <si>
    <t>選擇生命被看見 :拍紀錄片的護士 /</t>
  </si>
  <si>
    <t>醫眼看人間 :一位醫學作家的人生筆記 /</t>
  </si>
  <si>
    <t>姊姊的守護者 /</t>
  </si>
  <si>
    <t>生病也能開懷</t>
  </si>
  <si>
    <t xml:space="preserve">涓涓人生 : 我和我的18位病友 / </t>
  </si>
  <si>
    <t>希望之子 :一個血友病及HIV感染者妻子的真愛告白 /</t>
  </si>
  <si>
    <t xml:space="preserve">希望 : 戰勝病痛的故事 / </t>
  </si>
  <si>
    <t>醫德不是是非題 =Medical ethics is not a matter of black orwhite /</t>
  </si>
  <si>
    <t>折翼的天使不停飛 :臺東基督教醫院的故事 /</t>
  </si>
  <si>
    <t>病床邊的溫柔 /</t>
  </si>
  <si>
    <t>白色巨塔 =The hospital /</t>
  </si>
  <si>
    <t>白衣與大士 /</t>
  </si>
  <si>
    <t>勇敢笑出來 :不要放棄幽默 /</t>
  </si>
  <si>
    <t>大觀 :一位癌症小孩的心聲 /</t>
  </si>
  <si>
    <t xml:space="preserve">靠窗的那張床 : 心理成長小說 / </t>
  </si>
  <si>
    <t>在我道別之前 /</t>
  </si>
  <si>
    <t>當天使穿著黑衣出現 /</t>
  </si>
  <si>
    <t>誤診預防手冊 :109種醫療疏失與自救之道 /</t>
  </si>
  <si>
    <t>失去的暴龍與青蛙</t>
  </si>
  <si>
    <t>仁醫心傳 :證嚴法師與醫師的衛星連線 /</t>
  </si>
  <si>
    <t>Health care and national development in Taiwan 1950-2000 :how medical leaders in Taiwan, with the aid of American medical advisors, built a modern, health-oriented society in Post-War Taiwan /</t>
  </si>
  <si>
    <t>1000個希望:人工電子耳的成長分享</t>
  </si>
  <si>
    <t xml:space="preserve">天堂的媽媽 / </t>
  </si>
  <si>
    <t>阿茲海默診療室 /</t>
  </si>
  <si>
    <t>大鼻的抗癌日記 /</t>
  </si>
  <si>
    <t>不理會太陽的向日葵 /</t>
  </si>
  <si>
    <t>死亡如此靠近 :一位社工師的安寧病房手記 /</t>
  </si>
  <si>
    <t>生命河流 /</t>
  </si>
  <si>
    <t xml:space="preserve">請容許我悲傷 / </t>
  </si>
  <si>
    <t>她的職業是護士 /</t>
  </si>
  <si>
    <t>醫病關係 :生物醫學的迷思 /</t>
  </si>
  <si>
    <t xml:space="preserve">愛,補人間殘缺 : 羅慧夫臺灣行醫四十年 / </t>
  </si>
  <si>
    <t>一顆價值十億的藥丸 :人命與金錢的交易 /</t>
  </si>
  <si>
    <t xml:space="preserve">全球感染 / </t>
  </si>
  <si>
    <t>現代醫學在台灣：台灣醫學會百年見證</t>
  </si>
  <si>
    <t xml:space="preserve">愛與生存 : 愛與親密關係的治療力量 / </t>
  </si>
  <si>
    <t>醫療溝通與人際關係 /</t>
  </si>
  <si>
    <t>加護病房裡的選擇題 :一個30年資深醫師的真實告白 /</t>
  </si>
  <si>
    <t>黃昏老爸的煩惱習題 /</t>
  </si>
  <si>
    <t>你的醫生在想什麼? /</t>
  </si>
  <si>
    <t>巴掌大的仙子</t>
  </si>
  <si>
    <t>抗癌女神農 :陳映雪 /</t>
  </si>
  <si>
    <t>眨眼之間 :漸凍人陳宏的熱情人生 /</t>
  </si>
  <si>
    <t>你不可不知的醫界黑幕 /</t>
  </si>
  <si>
    <t xml:space="preserve">嬰兒廢棄物 / </t>
  </si>
  <si>
    <t>生命的陪伴 :第十五、十六屆醫療奉獻獎得主剪影 /</t>
  </si>
  <si>
    <t>希望之翼 /</t>
  </si>
  <si>
    <t xml:space="preserve">夜,驟然而降 : 了解自殺 / </t>
  </si>
  <si>
    <t xml:space="preserve">愛呆西非連加恩 : 攝氏45度下的小醫生手記 / </t>
  </si>
  <si>
    <t>門診室的春天 :名醫看電影 /</t>
  </si>
  <si>
    <t>追求100%:徐南麗教授的奮鬥歷程</t>
  </si>
  <si>
    <t xml:space="preserve">愛無國界 : 法默醫師的傳奇故事 / </t>
  </si>
  <si>
    <t>我兒惠尼 /</t>
  </si>
  <si>
    <t>幽谷伴行 :生命低潮期的心靈照應 /</t>
  </si>
  <si>
    <t xml:space="preserve">醫生的看與不見 : 一位醫師的省思與領悟 / </t>
  </si>
  <si>
    <t>活著上天堂 :心臟外科名醫魏崢的私房故事 /</t>
  </si>
  <si>
    <t xml:space="preserve">醫學這一行 / </t>
  </si>
  <si>
    <t>接受才能微笑 :一位年輕醫師勇敢面對癌症的生命故事 /</t>
  </si>
  <si>
    <t>感謝老天,我得了癌症 :許達夫醫師與癌共存之道 /</t>
  </si>
  <si>
    <t>遇見天使之前 :夢境與死亡的對談 /</t>
  </si>
  <si>
    <t>南方醫院小醫生 /</t>
  </si>
  <si>
    <t xml:space="preserve">絕地花園 / </t>
  </si>
  <si>
    <t xml:space="preserve">天使走過人間 : 生與死的回憶錄 / </t>
  </si>
  <si>
    <t>加護病房 /</t>
  </si>
  <si>
    <t>死亡教育 /</t>
  </si>
  <si>
    <t>醫病更醫心 /</t>
  </si>
  <si>
    <t>有翅膀的小紅鞋 /</t>
  </si>
  <si>
    <t xml:space="preserve">扭轉人生 : 十二個受助助人的故事 / </t>
  </si>
  <si>
    <t xml:space="preserve">一生罕見的幸福 / </t>
  </si>
  <si>
    <t>醒來後的淚光 :李克翰.曹燕婷的反方向人生 /</t>
  </si>
  <si>
    <t>今天不寫病歷 =Culture, society, and medical practice :</t>
  </si>
  <si>
    <t>愛是永不止息 /</t>
  </si>
  <si>
    <t>輪椅上的公主 :追回幸福的旅程 /</t>
  </si>
  <si>
    <t>逆風野草 :我的生命出路 /</t>
  </si>
  <si>
    <t>給生命的情書 /</t>
  </si>
  <si>
    <t>超越語言的力量 :藝術治療在安寧病房的故事 /</t>
  </si>
  <si>
    <t xml:space="preserve">堅持,就會看見希望 / </t>
  </si>
  <si>
    <t>那一百零八天 =The light you see /</t>
  </si>
  <si>
    <t>一個癌症媽咪給兒子的遺書 /</t>
  </si>
  <si>
    <t>與癌症共舞 :32歲的馬雨沛對抗乳癌歷程 /</t>
  </si>
  <si>
    <t>燈燈亮了 :我的女兒妞妞 /</t>
  </si>
  <si>
    <t>生命的障礙 :《一公升的眼淚》母親潮香的手記 /</t>
  </si>
  <si>
    <t>愛在福爾摩莎 /</t>
  </si>
  <si>
    <t>波特墓園 /</t>
  </si>
  <si>
    <t xml:space="preserve">伴你最後一程 : 臨終關懷的愛與慈悲 / </t>
  </si>
  <si>
    <t>實習醫師手記</t>
  </si>
  <si>
    <t>和星星說話的孩子 /</t>
  </si>
  <si>
    <t>那就10月17日吧! /</t>
  </si>
  <si>
    <t xml:space="preserve">活著真好 : 輪椅巨人祁六新 / </t>
  </si>
  <si>
    <t xml:space="preserve">中沙醫療團援外史料紀錄 : 荒漠行醫照影 / </t>
  </si>
  <si>
    <t>追逐日光 :一位跨國企業總裁的最後禮物 /</t>
  </si>
  <si>
    <t>開刀房裡的沉思 :一位外科醫師的精進 /</t>
  </si>
  <si>
    <t>住院醫師夜未眠 :梅約醫學中心魔鬼訓練全記錄 /</t>
  </si>
  <si>
    <t>話語.雙手與藥 :醫者的人性關懷 /</t>
  </si>
  <si>
    <t>愛在生命的缺口:因愛而起死回生的真實故事</t>
  </si>
  <si>
    <t>良醫抗病全紀錄 /</t>
  </si>
  <si>
    <t>外科失樂園 /</t>
  </si>
  <si>
    <t>不當醫生的理由</t>
  </si>
  <si>
    <t>最終的勝利 :安頓生命的最後歸宿 /</t>
  </si>
  <si>
    <t>用心醫病 =Connection between mind and diseases :</t>
  </si>
  <si>
    <t>恩寵與勇氣 /</t>
  </si>
  <si>
    <t>點滴袋上的畫 :血癌病童鄭韻婷與鄭媽媽的故事 /</t>
  </si>
  <si>
    <t>我在,因為你的愛 /</t>
  </si>
  <si>
    <t>永不放棄 :心臟救星朱樹勳 /</t>
  </si>
  <si>
    <t>如果, 我在那裡..... /</t>
  </si>
  <si>
    <t>我還有一隻腳 /</t>
  </si>
  <si>
    <t xml:space="preserve">在天堂遇見的五個人 / </t>
  </si>
  <si>
    <t>其實, 我的寂寞和你一樣 :一位精神科醫師對孤寂感的解析和告白 /</t>
  </si>
  <si>
    <t>我在榮總的日子 /</t>
  </si>
  <si>
    <t>用心看世界 /</t>
  </si>
  <si>
    <t>潛水鐘與蝴蝶 /</t>
  </si>
  <si>
    <t>愛像非洲一樣寬 /</t>
  </si>
  <si>
    <t>左手的勇氣 :一個關於勇敢.樂觀與熱愛生命的故事 /</t>
  </si>
  <si>
    <t>名人名病 :66個醫學上的生命課題 /</t>
  </si>
  <si>
    <t xml:space="preserve">發明疾病的人 : 現代醫療產業如何賣掉我們的健康? / </t>
  </si>
  <si>
    <t>白色斜塔 :給醫學生的60封信 /</t>
  </si>
  <si>
    <t>醫師教你看醫師 =Guide for seeing doctor /</t>
  </si>
  <si>
    <t>醫者的容顏 :18位醫師譜出的動人樂章 /</t>
  </si>
  <si>
    <t>一刀未剪的童年 /</t>
  </si>
  <si>
    <t>藥你生病 :藥廠製造疾病的真相 /</t>
  </si>
  <si>
    <t>天啊!人不是我殺的 /</t>
  </si>
  <si>
    <t>上帝 :我對的起 /</t>
  </si>
  <si>
    <t xml:space="preserve">別讓醫院殺了你 : 揭開醫療體系的共犯結構 / </t>
  </si>
  <si>
    <t>曇花一現,美善永存 :癌末患者的心路旅程 /</t>
  </si>
  <si>
    <t>走進加護病房 /</t>
  </si>
  <si>
    <t>藥廠黑幕 /</t>
  </si>
  <si>
    <t>無效的醫療 :拆穿用藥與手術的迷思 /</t>
  </si>
  <si>
    <t>別放棄我 /</t>
  </si>
  <si>
    <t>微笑,跟世界說再見! /</t>
  </si>
  <si>
    <t>漢生病照顧者人物傳 /</t>
  </si>
  <si>
    <t>醫師與生死 /</t>
  </si>
  <si>
    <t xml:space="preserve">安寧伴行 / </t>
  </si>
  <si>
    <t>人文.醫學與疾病敘事 /</t>
  </si>
  <si>
    <t>大愛相髓 /</t>
  </si>
  <si>
    <t>解讀醫病關係 /</t>
  </si>
  <si>
    <t>不收禮物的醫生 :以「震撼療法」改造日本醫療體制 /</t>
  </si>
  <si>
    <t xml:space="preserve">墮胎議題面面觀 / </t>
  </si>
  <si>
    <t>牽手向陽 :10位長期照顧者用青春換取家人健康的歷程 /</t>
  </si>
  <si>
    <t>診療椅上的謊言 /</t>
  </si>
  <si>
    <t>從病危到跑馬拉松 =The challenges andgains in cancer :</t>
  </si>
  <si>
    <t xml:space="preserve">關鍵時刻 : 急診醫病的溫馨故事 / </t>
  </si>
  <si>
    <t>跨越紅線 :一名外科醫師的自省與人道關懷 /</t>
  </si>
  <si>
    <t>膚慰人間的病 :慈濟四大志業醫療篇 /</t>
  </si>
  <si>
    <t>身心靈健康的10堂必修課 =10 lessons on health of body, mindand spirit /</t>
  </si>
  <si>
    <t xml:space="preserve">安樂死與安寧療護 / </t>
  </si>
  <si>
    <t>愛與關懷.遍灑人間 :護理天使的故事 /</t>
  </si>
  <si>
    <t xml:space="preserve">無語良師. 87．88 / </t>
  </si>
  <si>
    <t>無盡的愛:十位乳癌病友生命記實/</t>
  </si>
  <si>
    <t>我賺了30年 :李豐醫師的生命故事 /</t>
  </si>
  <si>
    <t>挑戰不可能 :戴承正醫師為癌症患者找到希望 /</t>
  </si>
  <si>
    <t>淡定．積極．重生 /</t>
  </si>
  <si>
    <t>浴火小天使 :兒童燙傷基金會20週年紀念 /</t>
  </si>
  <si>
    <t>爸爸是醫生的老師 /</t>
  </si>
  <si>
    <t>在狗籠裡長大的小孩 :一位兒童精神科醫師的診療筆記 /</t>
  </si>
  <si>
    <t xml:space="preserve">國際慈濟人醫會十週年紀念專刊 / </t>
  </si>
  <si>
    <t>天主教聖功醫院六十週年紀念專刊</t>
  </si>
  <si>
    <t>回首5年來時路:慈濟醫院五週年特刊</t>
  </si>
  <si>
    <t>醫學院沒教的一課 /</t>
  </si>
  <si>
    <t>生死無盡 =Living towards death /</t>
  </si>
  <si>
    <t>新醫病對話 /</t>
  </si>
  <si>
    <t>醫事 /</t>
  </si>
  <si>
    <t>醫生的意外旅程 :拜訪世界知名醫學博物館 /</t>
  </si>
  <si>
    <t>天涯行醫 :慈濟人醫手札 /</t>
  </si>
  <si>
    <t>不一樣的生死觀點 /</t>
  </si>
  <si>
    <t xml:space="preserve">正向思惟 : 改變生命的力量 / </t>
  </si>
  <si>
    <t>候診室裡的菩薩 :生命中不可逃避的選擇題 /</t>
  </si>
  <si>
    <t>醫師不是天使 :一位醫師作家人性關懷 /</t>
  </si>
  <si>
    <t>天使歸鄉 :孩子與父母認識死亡的一堂課 /</t>
  </si>
  <si>
    <t>跟親愛的說再見 /</t>
  </si>
  <si>
    <t>道別之後 /</t>
  </si>
  <si>
    <t>一把剪刀,幫助千百人 =Grand Tsai and a pair of scissors :</t>
  </si>
  <si>
    <t>邀舞 :一位多發性硬化症病人的心情紀事 /</t>
  </si>
  <si>
    <t xml:space="preserve">生死關頭見豁達 : 黃崑巖醫師談生命省思 / </t>
  </si>
  <si>
    <t>淚光奇蹟 =If you don't believe in miracles, it won't happen :</t>
  </si>
  <si>
    <t>來不及穿的8號鞋 /</t>
  </si>
  <si>
    <t>我不一樣的人生 :黃崑巖自傳 /</t>
  </si>
  <si>
    <t>提燈天使 :南丁格爾 /</t>
  </si>
  <si>
    <t>好醫生 上天堂 厄病人 住病房 /</t>
  </si>
  <si>
    <t>鋼索上的企鵝 /</t>
  </si>
  <si>
    <t>臺灣仁醫的身影 /</t>
  </si>
  <si>
    <t>死後的生命 :繼續前進與成長的祕密 /</t>
  </si>
  <si>
    <t>亞細亞的新身體 :性別.醫療.與近代臺灣 /</t>
  </si>
  <si>
    <t>韓石泉醫師的生命故事 /</t>
  </si>
  <si>
    <t>從北京到臺北 :精神藥理學家張文和的追尋 /</t>
  </si>
  <si>
    <t xml:space="preserve">習醫路上 / </t>
  </si>
  <si>
    <t xml:space="preserve">最後的演講 / </t>
  </si>
  <si>
    <t xml:space="preserve">愛的再造 : 韓德仁與波士頓兒童醫院的醫療奇蹟 / </t>
  </si>
  <si>
    <t>愛是泳不止息 :特殊奧運游泳金牌范晉嘉的故事 /</t>
  </si>
  <si>
    <t xml:space="preserve">一生無量 : 無量義經的現代演義 / </t>
  </si>
  <si>
    <t xml:space="preserve">派屈克的生死抉擇 / </t>
  </si>
  <si>
    <t>做自己最好的醫生 :一位心理學家的自癒實錄 /</t>
  </si>
  <si>
    <t>失去你的3月4日 /</t>
  </si>
  <si>
    <t>我不是殺人犯 /</t>
  </si>
  <si>
    <t>手術刀與靈魂 /</t>
  </si>
  <si>
    <t>哈佛醫學院沒教的事 /</t>
  </si>
  <si>
    <t>癌症病房沒告訴你的事 :一個醫生的另類接觸 /</t>
  </si>
  <si>
    <t xml:space="preserve">離島醫生 / </t>
  </si>
  <si>
    <t>最後時光 /</t>
  </si>
  <si>
    <t xml:space="preserve">因愛誕生 : 一段父親帶我回家的路 / </t>
  </si>
  <si>
    <t>我的慢飛天使 /</t>
  </si>
  <si>
    <t xml:space="preserve">醫魂 : 努蘭的醫學故事集 / </t>
  </si>
  <si>
    <t>生命紀念冊</t>
  </si>
  <si>
    <t>預知生死的貓 /</t>
  </si>
  <si>
    <t>遇見心中的向日葵 /</t>
  </si>
  <si>
    <t>去過天堂90分鐘 :一段有關生命與勇氣的真實故事 /</t>
  </si>
  <si>
    <t xml:space="preserve">史懷哲自傳 / </t>
  </si>
  <si>
    <t>臺灣兒科發展史</t>
  </si>
  <si>
    <t xml:space="preserve">天使的微光 : 一位女醫師的行醫記 / </t>
  </si>
  <si>
    <t>良醫多自苦中來 /</t>
  </si>
  <si>
    <t xml:space="preserve">流動的生命之河 : 二十個造血幹細胞捐贈的感人故事 / </t>
  </si>
  <si>
    <t>女醫花道2 /</t>
  </si>
  <si>
    <t>=("拒絕"可是"的人生 /")</t>
  </si>
  <si>
    <t>感染 /</t>
  </si>
  <si>
    <t>生死謎藏 /</t>
  </si>
  <si>
    <t>謀殺之心 /</t>
  </si>
  <si>
    <t>潘朵拉處方 /</t>
  </si>
  <si>
    <t>第五瓶血罐 /</t>
  </si>
  <si>
    <t>我接受了她的臉 :全球首例變臉手術紀實 /</t>
  </si>
  <si>
    <t>白袍下的熱血 :臺北醫學大學在非洲行醫的故事 /</t>
  </si>
  <si>
    <t>花開心蓮 :陪媽媽走過最後一段 /</t>
  </si>
  <si>
    <t>看不見的角落 :急診室裡的人生故事 /</t>
  </si>
  <si>
    <t xml:space="preserve">生命無價 : 九個特殊醫療個案故事 / </t>
  </si>
  <si>
    <t>讓日子多一點生命 :安寧病房的美味大廚 /</t>
  </si>
  <si>
    <t>死亡晚餐派對 /</t>
  </si>
  <si>
    <t>當下，與你真誠相遇 :完形諮商師的深刻省思 /</t>
  </si>
  <si>
    <t>妳離開以後 /</t>
  </si>
  <si>
    <t>地球另一端的眼淚 /</t>
  </si>
  <si>
    <t xml:space="preserve">醫學教育寶貴的一課 : 努蘭談醫病關係 / </t>
  </si>
  <si>
    <t>海拉細胞的不死傳奇 /</t>
  </si>
  <si>
    <t>千里凝視 /</t>
  </si>
  <si>
    <t>最後12天的生命之旅 /</t>
  </si>
  <si>
    <t>蔡合城癌末癌細胞不見了 /</t>
  </si>
  <si>
    <t>春草年年綠 :你不能不知道的安寧緩和醫療 /</t>
  </si>
  <si>
    <t>聽診器與念珠 :安寧病房裡的宗教師 /</t>
  </si>
  <si>
    <t>從安寧病房談幸福 :一位安寧病房臨床醫師的人生體悟 /</t>
  </si>
  <si>
    <t>其實,那個世界很美 /</t>
  </si>
  <si>
    <t>永遠的二號館 :重現臺灣醫界的人文精神 /</t>
  </si>
  <si>
    <t xml:space="preserve">後山怪咖醫師 / </t>
  </si>
  <si>
    <t>賴其萬醫師的心靈饗宴 /</t>
  </si>
  <si>
    <t>玩命處方箋 /</t>
  </si>
  <si>
    <t>哪裡有地獄,他們就往哪裡去!無國界醫師血與淚的奮鬥故事 /</t>
  </si>
  <si>
    <t xml:space="preserve">臺灣的病人最幸福 : 有圖有真相 / </t>
  </si>
  <si>
    <t xml:space="preserve">醫生.不醫死 :急診室的20個凝視與思考 / </t>
  </si>
  <si>
    <t xml:space="preserve">最幸福的離開 : 好好走完最後生命的9個在家善終故事 / </t>
  </si>
  <si>
    <t xml:space="preserve">來自天堂的微光 : 我在史瓦濟蘭行醫 / </t>
  </si>
  <si>
    <t xml:space="preserve">明天吹明天的風 : 一位精神科醫師脫下白袍之後 / </t>
  </si>
  <si>
    <t>你剛吃了韭菜水餃？:我那些可恨又可愛的病人們 /</t>
  </si>
  <si>
    <t xml:space="preserve">媽媽，我不想去天堂 / </t>
  </si>
  <si>
    <t xml:space="preserve">高原台北 青藏盆地 : 邱醫生的處方箋 / </t>
  </si>
  <si>
    <t>實習醫生的祕密手記 /</t>
  </si>
  <si>
    <t xml:space="preserve">我愛實習醫生 / </t>
  </si>
  <si>
    <t xml:space="preserve">E.R.男丁格爾 / </t>
  </si>
  <si>
    <t>陪你到老 :從改變信念做好長者照護工作 = Let me take care of you /</t>
  </si>
  <si>
    <t xml:space="preserve">忘了 : 走一段無悔的失智照護旅程 / </t>
  </si>
  <si>
    <t>謝謝你,從阿茲海默的世界回來 /</t>
  </si>
  <si>
    <t xml:space="preserve">向殘酷的仁慈說再見. 2, 給愛的人沒煩惱 被愛的人沒痛苦 / </t>
  </si>
  <si>
    <t xml:space="preserve">最初的心跳 / </t>
  </si>
  <si>
    <t>熱血仁醫 :開創新局的臺大醫院駐院醫學團隊 /</t>
  </si>
  <si>
    <t xml:space="preserve">家庭醫師不打烊 / </t>
  </si>
  <si>
    <t xml:space="preserve">那些菩薩給我們的故事 : 安寧療護的故事集 / </t>
  </si>
  <si>
    <t xml:space="preserve">牽爸媽的手自在到老的待辦事項 / </t>
  </si>
  <si>
    <t xml:space="preserve">在那女人必須蒙面的國度 : 一位女醫師在沙烏地阿拉伯王國的行醫紀實 / </t>
  </si>
  <si>
    <t xml:space="preserve">醫人三角的獨白 / </t>
  </si>
  <si>
    <t xml:space="preserve">人生最後一件大事 : 安寧度過臨終,尊嚴走向生命終點 / </t>
  </si>
  <si>
    <t xml:space="preserve">永遠的俠醫 : 台灣良心林杰樑 / </t>
  </si>
  <si>
    <t xml:space="preserve">我不是放棄你,我是要保護你 : 安寧病房裡的20篇心圓故事 / </t>
  </si>
  <si>
    <t xml:space="preserve">臨床隨行,走出白色巨塔陰影 = Clinic shadowing, walking through darkness / </t>
  </si>
  <si>
    <t xml:space="preserve">醫23事 / </t>
  </si>
  <si>
    <t xml:space="preserve">趁你還記得 : 醫生無法教你的失智症非藥物療法及有效照護方案,侍親12年心得筆記,兼顧生活品質與孝道! / </t>
  </si>
  <si>
    <t xml:space="preserve">在我離去之前 : 從醫師到病人,我的十字架 / </t>
  </si>
  <si>
    <t xml:space="preserve">如果有一天,我們說再見 / </t>
  </si>
  <si>
    <t xml:space="preserve">記憶空了，愛滿了 : 陪爸爸走過失智的美好日子 / </t>
  </si>
  <si>
    <t xml:space="preserve">阿吉伯與簡骨科 / </t>
  </si>
  <si>
    <t>醫龍物語 :鮮血, 腎上腺素與說不完的故事 /</t>
  </si>
  <si>
    <t xml:space="preserve">實習醫生狂想曲 : 急診室的1001個生命故事 / </t>
  </si>
  <si>
    <t xml:space="preserve">親愛的,我不想太早離開 / </t>
  </si>
  <si>
    <t xml:space="preserve">生命清單 / </t>
  </si>
  <si>
    <t xml:space="preserve">這就是我來到這世界的理由 / </t>
  </si>
  <si>
    <t xml:space="preserve">手術刀下的年代 : 被鋒利解剖的醫病關係 / </t>
  </si>
  <si>
    <t>生死謎藏.3,紅色的小行李箱 /</t>
  </si>
  <si>
    <t xml:space="preserve">其實你沒有學會愛自己 : 練習以愛,重新陪自己長大 / </t>
  </si>
  <si>
    <t xml:space="preserve">刀下人間 / </t>
  </si>
  <si>
    <t xml:space="preserve">最溫柔的陪伴 : 癌症晚期的希望照護 / </t>
  </si>
  <si>
    <t xml:space="preserve">癌症學校教我的事 : 一個七年級女生 二次抗癌成功課程 / </t>
  </si>
  <si>
    <t xml:space="preserve">急症室的福爾摩斯 / </t>
  </si>
  <si>
    <t>那些死亡教我如何活 :一位清掃死亡現場者20年的生死思索 /</t>
  </si>
  <si>
    <t xml:space="preserve">破牆而出 : 我與泛自閉症、亞斯柏格症共處的日子 / </t>
  </si>
  <si>
    <t xml:space="preserve">護你.四季 : 慈濟護理職涯手記 / </t>
  </si>
  <si>
    <t xml:space="preserve">以愛告別 : 母親教我的30個人生課題 / </t>
  </si>
  <si>
    <t>陪伴,是生命最好的禮物 :給家人與臥病者的解憂書 /</t>
  </si>
  <si>
    <t>神的病歷簿.2 /</t>
  </si>
  <si>
    <t xml:space="preserve">不落跑老爸 / </t>
  </si>
  <si>
    <t>醫者,本來如此 :臺灣腦神經外科權威魏國珍的快樂行醫路 /</t>
  </si>
  <si>
    <t xml:space="preserve">醫學人文教育 / </t>
  </si>
  <si>
    <t xml:space="preserve">夜班急診室 : 急診醫師筆下的真實人生 / </t>
  </si>
  <si>
    <t xml:space="preserve">記憶診所 : 為失智患者及家人帶來希望 / </t>
  </si>
  <si>
    <t>無聲的遺願 /</t>
  </si>
  <si>
    <t xml:space="preserve">跟家庭的傷說再見 : 與生命和解的故事療癒 / </t>
  </si>
  <si>
    <t xml:space="preserve">一個人好好走 : 生命最後的另一種選擇 / </t>
  </si>
  <si>
    <t xml:space="preserve">鋼索上的家庭 : 以愛,療癒父母帶來的傷 / </t>
  </si>
  <si>
    <t xml:space="preserve">當呼吸化為空氣 : 一位天才神經外科醫師最後的生命洞察 / </t>
  </si>
  <si>
    <t xml:space="preserve">家人這種病 / </t>
  </si>
  <si>
    <t>面對死亡,我看見的幸福與遺憾 :安寧療護2800人中,所學到的生命智慧 /</t>
  </si>
  <si>
    <t>贏得病患信任的問診術 :善用言語、姿勢、表情，促進醫病雙贏的醫生表演學 /</t>
  </si>
  <si>
    <t xml:space="preserve">輕鬆自在走好最後一哩路 : 幸福全人生, 生死皆自主 / </t>
  </si>
  <si>
    <t>新時代的醫學人文 =A new era of medical humanities /</t>
  </si>
  <si>
    <t xml:space="preserve">來不及的道謝 : 敘事醫學閱讀反思與寫作 / </t>
  </si>
  <si>
    <t xml:space="preserve">醫病溝通之鑰 : 醫療人員同理心五大心法 = Key of patient-practitioner communication : five essential skills of empathy / </t>
  </si>
  <si>
    <t>一○八天 /</t>
  </si>
  <si>
    <t>死前會後悔的25件事 :一千個臨終病患告訴你人生什麼最重要 /</t>
  </si>
  <si>
    <t xml:space="preserve">當最愛的人失智 : 除了醫療,寫一份「愛護履歷表」,才是最完整與尊嚴的照護 / </t>
  </si>
  <si>
    <t>預約.好好告別 :人生最後的期末考, 讓我們好好說再見 /</t>
  </si>
  <si>
    <t xml:space="preserve">麻醉科醫師的憂鬱 / </t>
  </si>
  <si>
    <t>最後瞬間的美好 :17年安寧療護工作，真實見證47則平靜安詳的告別故事 /</t>
  </si>
  <si>
    <t xml:space="preserve">承諾，用心守護病人 : 黃達夫與和信醫院的故事 / </t>
  </si>
  <si>
    <t xml:space="preserve">那一年,我在重症照護病房 : 一個新手護士的心靈省思 / </t>
  </si>
  <si>
    <t xml:space="preserve">俠女醫師的閱讀夢 / </t>
  </si>
  <si>
    <t xml:space="preserve">醫病大和解 : 一起走出醫療糾紛的迷宮 重建醫病信任關係 / </t>
  </si>
  <si>
    <t>遺愛 :器官捐贈背後的真相 /</t>
  </si>
  <si>
    <t>我想吃掉你的胰臟 /</t>
  </si>
  <si>
    <t>正念減壓的訓練 :風行全球,哈佛醫學院、Google、麥肯錫、蘋果都在用 /</t>
  </si>
  <si>
    <t xml:space="preserve">致命廚娘 : 不要叫我傷寒瑪麗 / </t>
  </si>
  <si>
    <t>守著記憶守著你 :失智症照護全書 : 一本重視照護者健康與失智症長者尊嚴的書 /</t>
  </si>
  <si>
    <t>傾聽情緒 :罹癌長輩與家屬的心理照顧 /</t>
  </si>
  <si>
    <t>八卦醫學史 /</t>
  </si>
  <si>
    <t xml:space="preserve">微笑,告別 : 對臨終者的精神幫助 / </t>
  </si>
  <si>
    <t xml:space="preserve">校園裡長出了一棵向日葵 : 慈濟大學見晴醫療服務隊十年 / </t>
  </si>
  <si>
    <t>憂鬱的醫生，想飛 :王浩威醫師的情緒門診 /</t>
  </si>
  <si>
    <t>不忮不求醫者路 腫瘤醫學的導師 :王秋華 /</t>
  </si>
  <si>
    <t xml:space="preserve">雪花飄落之前 : 我生命中最後的一課 / </t>
  </si>
  <si>
    <t>別為生病哭泣, 因為它讓我們懂得珍惜 :Ema四十歲得糖尿病的生命禮物 /</t>
  </si>
  <si>
    <t>27場送行 :無償安葬弱勢孤貧,從21年的告別裡學習最溫暖的人生功課 /</t>
  </si>
  <si>
    <t xml:space="preserve">白色危機 : 我們該如何面對高齡社會、醫病關係、醫療變遷的種種問題? / </t>
  </si>
  <si>
    <t>存在的離開 :癌症病房裡的一千零一夜 /</t>
  </si>
  <si>
    <t>帶孩子到這世界的初衷 :李佳燕醫師的親子門診 /</t>
  </si>
  <si>
    <t>愛的最後一幕 /</t>
  </si>
  <si>
    <t>病床上的選擇權 :一個年輕醫師對生命與人性的誠實反思 /</t>
  </si>
  <si>
    <t xml:space="preserve">醫病平台 : 醫病可以平起平坐的溝通平台 / </t>
  </si>
  <si>
    <t>臨終習題 :追尋更好的善終之道 = Extreme measures : finding a better path to the end of life /</t>
  </si>
  <si>
    <t>大愛醫生館 :簡守信院長的人文醫療探索 /</t>
  </si>
  <si>
    <t>來醫生館聽故事 /</t>
  </si>
  <si>
    <t xml:space="preserve">照護的邏輯 : 比賦予病患選擇更重要的事 / </t>
  </si>
  <si>
    <t>人生的最後期末考 :生命自主,為自己預立醫療決定 /</t>
  </si>
  <si>
    <t>生命這堂課 :心理學家臥底醫療現場的26個思索 /</t>
  </si>
  <si>
    <t>惡醫 /</t>
  </si>
  <si>
    <t xml:space="preserve">遍體鱗傷長大的孩子，會自己恢復正常嗎？ : 兒童精神科醫師與那些絕望.受傷童年的真實面對面 ; 關係為何不可或缺, 又何以讓人奄奄一息! / </t>
  </si>
  <si>
    <t>直視死亡的勇氣 :一位安寧療護醫師教你善終的可能,更教你活著的勇氣 /</t>
  </si>
  <si>
    <t xml:space="preserve">讓每個人找到自己生命的意義 : 臨終關懷師的22個心靈故事 / </t>
  </si>
  <si>
    <t>Free To Fly :生命、勇氣、愛:加護病房護理師眼中的醫療群像與生死覺察 /</t>
  </si>
  <si>
    <t xml:space="preserve">即使忘了全世界,還是愛著你 : 第一本從失智母親視角,寫給自己、兒女、人生的生命之書 / </t>
  </si>
  <si>
    <t>有一天,你也會遇到 /</t>
  </si>
  <si>
    <t xml:space="preserve">刎頸之交 : 簡瑞騰醫師與他的頸椎退化病友們 / </t>
  </si>
  <si>
    <t>一切都是剛剛好 :臺東醫生在喜馬拉雅山塔須村的義診初心 /</t>
  </si>
  <si>
    <t>寫給生命的情書 :暖心名醫告訴你, 對抗病魔時真正重要的事 /</t>
  </si>
  <si>
    <t xml:space="preserve">陪伴,是世上最奢侈的禮物 / </t>
  </si>
  <si>
    <t>我決定好好活到死:一位腦科學家對抗大腦病變的奇蹟之旅 /</t>
  </si>
  <si>
    <t xml:space="preserve">醫生好忙！ : 看診.巡房.開刀之外, 詼諧又真實的醫界人生 / </t>
  </si>
  <si>
    <t>慈悲善終 :社工師的臨床陪伴日誌 /</t>
  </si>
  <si>
    <t xml:space="preserve">拼圖者的生命觀察 : 一位工作20年的法醫心得。新聞跑馬燈後的真實故事,解剖刀下的生命啟發 / </t>
  </si>
  <si>
    <t xml:space="preserve">麻醉醫師靈魂所在的地方 : 在悲傷與死亡的面前,我們如何說愛? / </t>
  </si>
  <si>
    <t xml:space="preserve">親愛的醫師媽媽 : 早產兒守護者許瓊心醫師與她的巴掌仙子 / </t>
  </si>
  <si>
    <t xml:space="preserve">診療室的人生練習 : 和解、告別、釋放，找回平衡的自己 / </t>
  </si>
  <si>
    <t xml:space="preserve">村裡來了個暴走女外科 : 偏鄉小醫院的血與骨、笑和淚 / </t>
  </si>
  <si>
    <t xml:space="preserve">還有心跳怎會死? : 重症醫師揭開死前N種徵兆 / </t>
  </si>
  <si>
    <t>只是哭沒有用 :人生無法隨心所欲, 但對抗疾病隨我高興 /</t>
  </si>
  <si>
    <t>ICU重症醫療現場：熱血暖醫陳志金 勇敢而發真心話</t>
  </si>
  <si>
    <t>白衣天使的天堂路 :護理師咩姐、牛皮的醫院修(崩)煉(潰)日誌 /</t>
  </si>
  <si>
    <t>我微笑，但不一定快樂：微笑下隱藏的其實是不安！一個微笑憂鬱症患者寫給自己的和解之書 /</t>
  </si>
  <si>
    <t>親愛的人生:關於醫療.老年及照護的思辨/</t>
  </si>
  <si>
    <t>那個病人，我人生的醫生 /</t>
  </si>
  <si>
    <t xml:space="preserve">診間裡的女人 : 婦產科女醫師從身體的難題帶妳找到人生的出口 / </t>
  </si>
  <si>
    <t>診間裡的女人. 2, 不再害怕失去，婦產科女醫師陪妳找尋被遺忘的自己 /</t>
  </si>
  <si>
    <t>下一秒, 來不及道別 /</t>
  </si>
  <si>
    <t>醫師的內心世界 :情緒如何影響行醫 /</t>
  </si>
  <si>
    <t>雖然想死, 但卻成為醫生的我 :徘徊在生死邊界的急診故事 /</t>
  </si>
  <si>
    <t>精疲力竭的一天 ：雖然想死，但卻成為醫生的我.2  /</t>
  </si>
  <si>
    <t>總覺得自己沒那麼好? :一位實習醫師的冒牌者症候群實錄 /</t>
  </si>
  <si>
    <t>病人?了什,醫師聽到什? :如何讓診間出現有意義又清楚易懂的病醫對話/</t>
  </si>
  <si>
    <t xml:space="preserve">與苦難同行:這些年病人教會我的事 / </t>
  </si>
  <si>
    <t>不完美的我，照顧生病的你 :在生與死共存的加護病房裡，告訴自己「不要被打倒，也不要麻木」 /</t>
  </si>
  <si>
    <t>我們只是暫時還沒死 /</t>
  </si>
  <si>
    <t>或許，我就這樣一個人走了: 在時光靜止的孤獨死模型屋裡，一位遺物整理師重現「死亡終將造訪」的生命場景 /</t>
  </si>
  <si>
    <t>受傷的醫者 :心理學家帶你看見白袍底下的情感掙扎與人性脆弱 /</t>
  </si>
  <si>
    <t xml:space="preserve">老有所終 : 長命百歲還是品質九九? / </t>
  </si>
  <si>
    <t>走過道謝、道歉，可以無憾道愛、道別: 我在電影中看見的老年照顧與安寧療護 /</t>
  </si>
  <si>
    <t>白袍之心 :乳癌治療路上的陪伴 /</t>
  </si>
  <si>
    <t xml:space="preserve">最美的醫療人文 :紀念專輯一  : </t>
  </si>
  <si>
    <t xml:space="preserve">最美的醫療人文 :紀念專輯二  : </t>
  </si>
  <si>
    <t xml:space="preserve">凡妮莎的妻子 / </t>
  </si>
  <si>
    <t xml:space="preserve">最美的醫療人文 : 讓愛沒有距離 / </t>
  </si>
  <si>
    <t xml:space="preserve">擁抱生命的不完美 / </t>
  </si>
  <si>
    <t>這疫片被壟罩的天空: 敘事醫學閱讀反思與寫作 /</t>
  </si>
  <si>
    <t xml:space="preserve">ICU重症醫療現場. 2, 用生命拚的生命 / </t>
  </si>
  <si>
    <t>可惡的他人和可憐的自己 :即時療癒人際關係的痛與情感內傷 /</t>
  </si>
  <si>
    <t>隧道96小時 :邱醫生的明日傳奇 /</t>
  </si>
  <si>
    <t>醫生說我可以去死沒關係: 日本王牌精神科醫師終極療癒秘訣, 治好1000顆破碎的心! /</t>
  </si>
  <si>
    <t>兒童與我 :乘著歌聲翅膀的小兒外科醫師 /</t>
  </si>
  <si>
    <t>超越認知障礙 曹爸有方: 保有快樂記憶、忘得輕安自在，有尊嚴安老終老 /</t>
  </si>
  <si>
    <t>留住相愛，停止傷害 :臨床實踐的失智症照顧方案，陪伴患者也照顧自己，走出情感疲勞，找回生活平衡 /</t>
  </si>
  <si>
    <t>斷食善終 :送母遠行，學習面對死亡的生命課題 /</t>
  </si>
  <si>
    <t>等待微光: 一位救難醫師的生命告白 /</t>
  </si>
  <si>
    <t>條碼號</t>
  </si>
  <si>
    <t>作者</t>
  </si>
  <si>
    <t>出版者</t>
  </si>
  <si>
    <t>館藏出版年</t>
  </si>
  <si>
    <t>館藏地</t>
  </si>
  <si>
    <t>館員備註</t>
  </si>
  <si>
    <t>D0000185</t>
  </si>
  <si>
    <t xml:space="preserve">蔡篤堅作 </t>
  </si>
  <si>
    <t>唐山,</t>
  </si>
  <si>
    <t>410.3 8454 2001</t>
  </si>
  <si>
    <t>2001</t>
  </si>
  <si>
    <t>大林慈院醫學人文區</t>
  </si>
  <si>
    <t>專案經費</t>
  </si>
  <si>
    <t>D0000188</t>
  </si>
  <si>
    <t>紐曼(Newman, David H.)</t>
  </si>
  <si>
    <t xml:space="preserve">天下遠見, </t>
  </si>
  <si>
    <t>419.47 868 2011</t>
  </si>
  <si>
    <t>2011</t>
  </si>
  <si>
    <t>D0000197</t>
  </si>
  <si>
    <t xml:space="preserve">麥克塔格特(McTaggart, Lynne) </t>
  </si>
  <si>
    <t>婦女與生活社發行,</t>
  </si>
  <si>
    <t>410 8354 2007</t>
  </si>
  <si>
    <t>2007</t>
  </si>
  <si>
    <t>D0000212</t>
  </si>
  <si>
    <t xml:space="preserve">卜錦輝(Burns, Gregory, 1957-) </t>
  </si>
  <si>
    <t>商周出版,</t>
  </si>
  <si>
    <t>785.28 8476 2008</t>
  </si>
  <si>
    <t>2008</t>
  </si>
  <si>
    <t>D0000293</t>
  </si>
  <si>
    <t/>
  </si>
  <si>
    <t>奇美醫學中心</t>
  </si>
  <si>
    <t>419.333 8564 2008</t>
  </si>
  <si>
    <t>D0000370</t>
  </si>
  <si>
    <t xml:space="preserve">劉書維(特殊教育) ;戴耀賽(社會工作) ;黃琬淇(護理學) </t>
  </si>
  <si>
    <t>中華民國白化症者關懷協會,</t>
  </si>
  <si>
    <t>415.755 8352 2008</t>
  </si>
  <si>
    <t>D0000389</t>
  </si>
  <si>
    <t xml:space="preserve">Hikari </t>
  </si>
  <si>
    <t>方智出版,</t>
  </si>
  <si>
    <t>861.57 8777 2006</t>
  </si>
  <si>
    <t>2006</t>
  </si>
  <si>
    <t>D0000398</t>
  </si>
  <si>
    <t xml:space="preserve">畢柳鶯 </t>
  </si>
  <si>
    <t>聯經,</t>
  </si>
  <si>
    <t>855 8652 2003</t>
  </si>
  <si>
    <t>2003</t>
  </si>
  <si>
    <t>D0000406</t>
  </si>
  <si>
    <t xml:space="preserve">庫姆森(Koomson, Dorothy) </t>
  </si>
  <si>
    <t>三采文化,</t>
  </si>
  <si>
    <t>873.57 8457 2009</t>
  </si>
  <si>
    <t>2009</t>
  </si>
  <si>
    <t>學習資源組</t>
  </si>
  <si>
    <t>D0000459</t>
  </si>
  <si>
    <t xml:space="preserve">張正弘 </t>
  </si>
  <si>
    <t>慈濟文化出版,</t>
  </si>
  <si>
    <t>410.07 8743 1994</t>
  </si>
  <si>
    <t>1994</t>
  </si>
  <si>
    <t>D0000460</t>
  </si>
  <si>
    <t xml:space="preserve">林秀蘭著 </t>
  </si>
  <si>
    <t xml:space="preserve">慈濟文化志業, </t>
  </si>
  <si>
    <t>857.85 8765-2 2001</t>
  </si>
  <si>
    <t>D0000522</t>
  </si>
  <si>
    <t>慈濟醫院</t>
  </si>
  <si>
    <t>411.1 8464 1996</t>
  </si>
  <si>
    <t>1996</t>
  </si>
  <si>
    <t>D0000594</t>
  </si>
  <si>
    <t xml:space="preserve">坦尚尼(Terzani, Tiziano) </t>
  </si>
  <si>
    <t>時周文化出版,</t>
  </si>
  <si>
    <t>784.58 8665 2009</t>
  </si>
  <si>
    <t>D0000599</t>
  </si>
  <si>
    <t xml:space="preserve">史達策(Starzl, Thomas E. (Thomas Earl), 1926-    ) </t>
  </si>
  <si>
    <t>望春風文化出版,</t>
  </si>
  <si>
    <t>419.952 8474 2007</t>
  </si>
  <si>
    <t>D0000611</t>
  </si>
  <si>
    <t xml:space="preserve">史都達(Stoddard, Sandol) </t>
  </si>
  <si>
    <t>正中,</t>
  </si>
  <si>
    <t>397.18 8857 1996</t>
  </si>
  <si>
    <t>D0000621</t>
  </si>
  <si>
    <t xml:space="preserve">沙巴達惠倫(Zapata-Whelan, Carol, 1957-) </t>
  </si>
  <si>
    <t>張老師,</t>
  </si>
  <si>
    <t>415.18 8763 2007</t>
  </si>
  <si>
    <t>D0000626</t>
  </si>
  <si>
    <t>毛瓊英1955-著,</t>
  </si>
  <si>
    <t>基督教橄欖文化事業基金會,</t>
  </si>
  <si>
    <t>245.8 8778 2007</t>
  </si>
  <si>
    <t>D0000639</t>
  </si>
  <si>
    <t xml:space="preserve">吳平城 </t>
  </si>
  <si>
    <t>玉山社出版,</t>
  </si>
  <si>
    <t>782.886 8853 1997</t>
  </si>
  <si>
    <t>1997</t>
  </si>
  <si>
    <t>D0000653</t>
  </si>
  <si>
    <t>游健治著</t>
  </si>
  <si>
    <t xml:space="preserve">新新聞文化, </t>
  </si>
  <si>
    <t>410.7 8393 2001</t>
  </si>
  <si>
    <t>D0000665</t>
  </si>
  <si>
    <t xml:space="preserve">努蘭(Nuland, Sherwin B.) </t>
  </si>
  <si>
    <t>時報文化,</t>
  </si>
  <si>
    <t>410 888 2002</t>
  </si>
  <si>
    <t>2002</t>
  </si>
  <si>
    <t>D0000719</t>
  </si>
  <si>
    <t xml:space="preserve">大田和史繪著 </t>
  </si>
  <si>
    <t>野人文化,</t>
  </si>
  <si>
    <t>861.679 8365 2009</t>
  </si>
  <si>
    <t>D0000733</t>
  </si>
  <si>
    <t xml:space="preserve">王梅(新聞學) </t>
  </si>
  <si>
    <t>天下雜誌出版,</t>
  </si>
  <si>
    <t>416.1 843 2008</t>
  </si>
  <si>
    <t>D0000836</t>
  </si>
  <si>
    <t>黃錫勳</t>
  </si>
  <si>
    <t xml:space="preserve">藝軒, </t>
  </si>
  <si>
    <t>410.07 8388 1994</t>
  </si>
  <si>
    <t>D0000904</t>
  </si>
  <si>
    <t>薩克斯(Sacks, Oliver)</t>
  </si>
  <si>
    <t xml:space="preserve">天下文化出版 : ;黎銘總經銷, </t>
  </si>
  <si>
    <t>415.9 8555 1996</t>
  </si>
  <si>
    <t>D0000926</t>
  </si>
  <si>
    <t>行政院衛生署新竹醫院,</t>
  </si>
  <si>
    <t>419.825 8546 2008</t>
  </si>
  <si>
    <t>D0000935</t>
  </si>
  <si>
    <t>長智;啟示</t>
  </si>
  <si>
    <t>855 8724 2008</t>
  </si>
  <si>
    <t>D0000938</t>
  </si>
  <si>
    <t>心靈工坊文化,</t>
  </si>
  <si>
    <t>419.9232 8867 2005</t>
  </si>
  <si>
    <t>2005</t>
  </si>
  <si>
    <t>D0001001</t>
  </si>
  <si>
    <t>許竣超著</t>
  </si>
  <si>
    <t xml:space="preserve">慈濟人文志業中心, </t>
  </si>
  <si>
    <t>416.64 8464 2011</t>
  </si>
  <si>
    <t>D0001034</t>
  </si>
  <si>
    <t xml:space="preserve">古德曼(Goodman, Allegra) </t>
  </si>
  <si>
    <t>遠流,</t>
  </si>
  <si>
    <t>874.57 8453 2007</t>
  </si>
  <si>
    <t>D0001038</t>
  </si>
  <si>
    <t xml:space="preserve">陳彩美著 </t>
  </si>
  <si>
    <t>秀威資訊科技出版,</t>
  </si>
  <si>
    <t>855 8786:2 2010</t>
  </si>
  <si>
    <t>2010</t>
  </si>
  <si>
    <t>D0001062</t>
  </si>
  <si>
    <t xml:space="preserve">胡月娟 </t>
  </si>
  <si>
    <t>華杏,</t>
  </si>
  <si>
    <t>419.607 8466 1997</t>
  </si>
  <si>
    <t>D0001065</t>
  </si>
  <si>
    <t xml:space="preserve">東野圭吾 </t>
  </si>
  <si>
    <t>獨步文化, 城邦文化出版,</t>
  </si>
  <si>
    <t>861.57 8734 2008</t>
  </si>
  <si>
    <t>D0001088</t>
  </si>
  <si>
    <t xml:space="preserve">史瓦茲(Schwartz, Morrie)著 </t>
  </si>
  <si>
    <t>哈佛人,</t>
  </si>
  <si>
    <t>785.28 8834 2007</t>
  </si>
  <si>
    <t>D0001091</t>
  </si>
  <si>
    <t xml:space="preserve">休斯(Hughes, Patrick Henry,1988- ) </t>
  </si>
  <si>
    <t>天下遠見出版,</t>
  </si>
  <si>
    <t>910.9952 8637 2009</t>
  </si>
  <si>
    <t>D0001099</t>
  </si>
  <si>
    <t xml:space="preserve">格里森(Gerritsen, Tess) </t>
  </si>
  <si>
    <t>春天出版國際出版,</t>
  </si>
  <si>
    <t>874.57 8727 2009</t>
  </si>
  <si>
    <t>D0001127</t>
  </si>
  <si>
    <t xml:space="preserve">博琉(Baulieu, Etienne-Emile) ;張天鈞 </t>
  </si>
  <si>
    <t>大塊出版 ;;北城總經銷,</t>
  </si>
  <si>
    <t>417.353 835 1999</t>
  </si>
  <si>
    <t>1999</t>
  </si>
  <si>
    <t>D0001129</t>
  </si>
  <si>
    <t>財團法人器官捐贈移植登錄中心</t>
  </si>
  <si>
    <t xml:space="preserve">財團法人器官捐贈移植登錄中心, </t>
  </si>
  <si>
    <t>416.3 8534 2010</t>
  </si>
  <si>
    <t>D0001131</t>
  </si>
  <si>
    <t>哈特曼(Hartman, David)原著</t>
  </si>
  <si>
    <t xml:space="preserve">遠流, </t>
  </si>
  <si>
    <t>785.28 8694 2001</t>
  </si>
  <si>
    <t>D0001211</t>
  </si>
  <si>
    <t>豐泰</t>
  </si>
  <si>
    <t>855 8325 1994</t>
  </si>
  <si>
    <t>D0001220</t>
  </si>
  <si>
    <t xml:space="preserve">汪其楣作 </t>
  </si>
  <si>
    <t>855 8334 1995</t>
  </si>
  <si>
    <t>1995</t>
  </si>
  <si>
    <t>D0001230</t>
  </si>
  <si>
    <t xml:space="preserve">楊洛(文學) </t>
  </si>
  <si>
    <t>華成圖書出版,</t>
  </si>
  <si>
    <t>417.8 863 2006</t>
  </si>
  <si>
    <t>護理部</t>
  </si>
  <si>
    <t>D0001256</t>
  </si>
  <si>
    <t xml:space="preserve">黃軒作 </t>
  </si>
  <si>
    <t>855 835 2011</t>
  </si>
  <si>
    <t>D0001301</t>
  </si>
  <si>
    <t>坎納迪(Canedy, Dana)著</t>
  </si>
  <si>
    <t xml:space="preserve">平安文化, </t>
  </si>
  <si>
    <t>874.6 8758 2010</t>
  </si>
  <si>
    <t>D0001323</t>
  </si>
  <si>
    <t xml:space="preserve">邱仁輝 </t>
  </si>
  <si>
    <t>策馬入林文化出版,</t>
  </si>
  <si>
    <t>676.64 8766 2010</t>
  </si>
  <si>
    <t>D0001333</t>
  </si>
  <si>
    <t>長智;望春風</t>
  </si>
  <si>
    <t>419.945 8755 2004</t>
  </si>
  <si>
    <t>2004</t>
  </si>
  <si>
    <t>D0001335</t>
  </si>
  <si>
    <t xml:space="preserve">HablitzelWilliam E著 </t>
  </si>
  <si>
    <t>久周出版,</t>
  </si>
  <si>
    <t>191.9 8364 2006</t>
  </si>
  <si>
    <t>D0001363</t>
  </si>
  <si>
    <t>于美人著</t>
  </si>
  <si>
    <t>春光,</t>
  </si>
  <si>
    <t>855 8569 2007</t>
  </si>
  <si>
    <t>D0001381</t>
  </si>
  <si>
    <t xml:space="preserve">愛德華茲(Edwards, Kim, 1958-) </t>
  </si>
  <si>
    <t>木馬文化,</t>
  </si>
  <si>
    <t>874.5754 8956 2007</t>
  </si>
  <si>
    <t>D0001384</t>
  </si>
  <si>
    <t xml:space="preserve">蘇絢慧 </t>
  </si>
  <si>
    <t>寶瓶文化出版,</t>
  </si>
  <si>
    <t>178 8863 2011</t>
  </si>
  <si>
    <t>D0001388</t>
  </si>
  <si>
    <t>249.9 8538 2009</t>
  </si>
  <si>
    <t>D0001398</t>
  </si>
  <si>
    <t xml:space="preserve">顏一秀 </t>
  </si>
  <si>
    <t>臺灣大學,</t>
  </si>
  <si>
    <t>782.228 8226 2005</t>
  </si>
  <si>
    <t>D0001399</t>
  </si>
  <si>
    <t xml:space="preserve">周希諴 </t>
  </si>
  <si>
    <t>紀成生物科技,</t>
  </si>
  <si>
    <t>419.825 8672-2 2007</t>
  </si>
  <si>
    <t>D0001403</t>
  </si>
  <si>
    <t xml:space="preserve">小杉健治 </t>
  </si>
  <si>
    <t>漢湘文化出版,</t>
  </si>
  <si>
    <t>861.57 844 2008</t>
  </si>
  <si>
    <t>D0001414</t>
  </si>
  <si>
    <t xml:space="preserve">陳秀丹著 </t>
  </si>
  <si>
    <t>419.825 8766 2010</t>
  </si>
  <si>
    <t>D0001438</t>
  </si>
  <si>
    <t xml:space="preserve">慈濟文化出版社編著 </t>
  </si>
  <si>
    <t>547.16 8236:2 1993</t>
  </si>
  <si>
    <t>1993</t>
  </si>
  <si>
    <t>D0001457</t>
  </si>
  <si>
    <t xml:space="preserve">蕭麗君 </t>
  </si>
  <si>
    <t>傳神愛網資訊出版,</t>
  </si>
  <si>
    <t>782.886 8654 2002</t>
  </si>
  <si>
    <t>D0001459</t>
  </si>
  <si>
    <t xml:space="preserve">謝其濬著 </t>
  </si>
  <si>
    <t>529.67 8233 2011</t>
  </si>
  <si>
    <t>D0001462</t>
  </si>
  <si>
    <t xml:space="preserve">陳榮基  </t>
  </si>
  <si>
    <t>周大觀基金會,</t>
  </si>
  <si>
    <t>410.9933 8764:2 2011</t>
  </si>
  <si>
    <t>D0001474</t>
  </si>
  <si>
    <t>天下文化</t>
  </si>
  <si>
    <t>415.23 8354 1998</t>
  </si>
  <si>
    <t>1998</t>
  </si>
  <si>
    <t>D0001482</t>
  </si>
  <si>
    <t xml:space="preserve">內斯(Nesse, Randolph M.)著 </t>
  </si>
  <si>
    <t>410.1 855 2001</t>
  </si>
  <si>
    <t>D0001539</t>
  </si>
  <si>
    <t>宋睿祥作</t>
  </si>
  <si>
    <t xml:space="preserve">大和總經銷, ;天下雜誌出版 : </t>
  </si>
  <si>
    <t>547.16 8654 2010</t>
  </si>
  <si>
    <t>D0001540</t>
  </si>
  <si>
    <t>庫伯勒-羅斯(Kubler-Ross, Elisabeth)作</t>
  </si>
  <si>
    <t xml:space="preserve">張老師文化, </t>
  </si>
  <si>
    <t>176.5 8556 2006</t>
  </si>
  <si>
    <t>D0001542</t>
  </si>
  <si>
    <t xml:space="preserve">布萊恩(Bryan, Elizabeth M.) </t>
  </si>
  <si>
    <t>立?文化出版,</t>
  </si>
  <si>
    <t>417.8 8566 2009</t>
  </si>
  <si>
    <t>D0001594</t>
  </si>
  <si>
    <t xml:space="preserve">王靜蓉著 </t>
  </si>
  <si>
    <t>慈濟文化,</t>
  </si>
  <si>
    <t>225.8 8455 1994</t>
  </si>
  <si>
    <t>D0001634</t>
  </si>
  <si>
    <t xml:space="preserve">內依梅爾(Neimeyer, Robert A., 1954-) </t>
  </si>
  <si>
    <t>心理,</t>
  </si>
  <si>
    <t>176.5 8487 2007</t>
  </si>
  <si>
    <t>D0001635</t>
  </si>
  <si>
    <t xml:space="preserve">歐玲君(護理學) </t>
  </si>
  <si>
    <t>855 8734 2008</t>
  </si>
  <si>
    <t>D0001692</t>
  </si>
  <si>
    <t xml:space="preserve">張育宜 </t>
  </si>
  <si>
    <t>平安文化,</t>
  </si>
  <si>
    <t>783.3886 8733 2007</t>
  </si>
  <si>
    <t>一般外科;學習資源組</t>
  </si>
  <si>
    <t>D0001725</t>
  </si>
  <si>
    <t xml:space="preserve">天川彩 </t>
  </si>
  <si>
    <t>平裝本,</t>
  </si>
  <si>
    <t>861.57 8778 2007</t>
  </si>
  <si>
    <t>D0001727</t>
  </si>
  <si>
    <t xml:space="preserve">張之申 </t>
  </si>
  <si>
    <t>原水文化出版,</t>
  </si>
  <si>
    <t>419.1 8766 2008</t>
  </si>
  <si>
    <t>D0001801</t>
  </si>
  <si>
    <t xml:space="preserve">VejjajivaJane著 </t>
  </si>
  <si>
    <t>野人文化出版,</t>
  </si>
  <si>
    <t>868.257 8448 2009</t>
  </si>
  <si>
    <t>D0001802</t>
  </si>
  <si>
    <t xml:space="preserve">王竹語著 </t>
  </si>
  <si>
    <t>191.07 8473 2009</t>
  </si>
  <si>
    <t>D0001809</t>
  </si>
  <si>
    <t xml:space="preserve">陳永興編著 </t>
  </si>
  <si>
    <t>INK印刻文學出版,</t>
  </si>
  <si>
    <t>410.9933 8764 2009</t>
  </si>
  <si>
    <t>D0001818</t>
  </si>
  <si>
    <t xml:space="preserve">歐法洛(O'Farrell, Maggie, 1972-    ) </t>
  </si>
  <si>
    <t>873.57 8425 2009</t>
  </si>
  <si>
    <t>D0001828</t>
  </si>
  <si>
    <t xml:space="preserve">霍洛威(Holloway, Kris) </t>
  </si>
  <si>
    <t>木馬文化出版,</t>
  </si>
  <si>
    <t>417.31 8675 2008</t>
  </si>
  <si>
    <t>D0001849</t>
  </si>
  <si>
    <t xml:space="preserve">凱琳娜(Kalina, Kathy) </t>
  </si>
  <si>
    <t>上智文化,</t>
  </si>
  <si>
    <t>419.825 8577 2010</t>
  </si>
  <si>
    <t>D0001862</t>
  </si>
  <si>
    <t xml:space="preserve">德塞里奇(Desserich, Keith.) </t>
  </si>
  <si>
    <t>春光出版,</t>
  </si>
  <si>
    <t>415.938 8735 2009</t>
  </si>
  <si>
    <t>D0001898</t>
  </si>
  <si>
    <t xml:space="preserve">KurtzSuzanne著 </t>
  </si>
  <si>
    <t>五南,</t>
  </si>
  <si>
    <t>419.47 8346 2010</t>
  </si>
  <si>
    <t>D0001919</t>
  </si>
  <si>
    <t xml:space="preserve">皮考特(Picoult, Jodi, 1966-) </t>
  </si>
  <si>
    <t>臺灣商務,</t>
  </si>
  <si>
    <t>874.57 8745:2-2 2009</t>
  </si>
  <si>
    <t>D0001949</t>
  </si>
  <si>
    <t xml:space="preserve">盧薛(Roueche, Berton,1911-) </t>
  </si>
  <si>
    <t>410.7 856 2006</t>
  </si>
  <si>
    <t>D0001952</t>
  </si>
  <si>
    <t>裘哈爾(Jauhar, Sandeep)著</t>
  </si>
  <si>
    <t xml:space="preserve">天下遠見出版 : ;大和總經銷, </t>
  </si>
  <si>
    <t>410.9952 8753 2010</t>
  </si>
  <si>
    <t>D0001953</t>
  </si>
  <si>
    <t xml:space="preserve">饒妤奇(教育) </t>
  </si>
  <si>
    <t>元氣齋,</t>
  </si>
  <si>
    <t>415.53 8444 2007</t>
  </si>
  <si>
    <t>D0001975</t>
  </si>
  <si>
    <t>好讀,</t>
  </si>
  <si>
    <t>873.6 8343 2006</t>
  </si>
  <si>
    <t>D0002009</t>
  </si>
  <si>
    <t xml:space="preserve">陳文峰(中國文學) </t>
  </si>
  <si>
    <t>白象文化出版,</t>
  </si>
  <si>
    <t>417.8 8766 2007</t>
  </si>
  <si>
    <t>D0002021</t>
  </si>
  <si>
    <t xml:space="preserve">夏川草介 </t>
  </si>
  <si>
    <t>高寶國際出版,</t>
  </si>
  <si>
    <t>861.57 8776 2011</t>
  </si>
  <si>
    <t>D0002060</t>
  </si>
  <si>
    <t xml:space="preserve">克里希那穆提(Krishnamurti, J.)著 </t>
  </si>
  <si>
    <t>心靈工坊,</t>
  </si>
  <si>
    <t>191.1 8455 2005</t>
  </si>
  <si>
    <t>D0002106</t>
  </si>
  <si>
    <t>徐超斌著</t>
  </si>
  <si>
    <t xml:space="preserve">大和總經銷, ;寶瓶文化出版 : </t>
  </si>
  <si>
    <t>410.7 8942 2009</t>
  </si>
  <si>
    <t>D0002163</t>
  </si>
  <si>
    <t xml:space="preserve">陳坤虎 </t>
  </si>
  <si>
    <t>張老師文化,</t>
  </si>
  <si>
    <t>419.825 8755 2009</t>
  </si>
  <si>
    <t>D0002194</t>
  </si>
  <si>
    <t>419.825 8672 2007</t>
  </si>
  <si>
    <t>D0002262</t>
  </si>
  <si>
    <t>泰勒(Taylor, Jill Bolte)著</t>
  </si>
  <si>
    <t>415.922 8634 2009</t>
  </si>
  <si>
    <t>D0002269</t>
  </si>
  <si>
    <t>荻原浩</t>
  </si>
  <si>
    <t xml:space="preserve">商周出版 : ;家庭傳媒城邦分公司發行, </t>
  </si>
  <si>
    <t>861.57 8833 2007</t>
  </si>
  <si>
    <t>D0002309</t>
  </si>
  <si>
    <t xml:space="preserve">江漢聲 </t>
  </si>
  <si>
    <t>410.9 8364 2009</t>
  </si>
  <si>
    <t>D0002311</t>
  </si>
  <si>
    <t xml:space="preserve">吳佳璇著 </t>
  </si>
  <si>
    <t>夏日出版,</t>
  </si>
  <si>
    <t>417.8 8867 2009</t>
  </si>
  <si>
    <t>D0002474</t>
  </si>
  <si>
    <t xml:space="preserve">單國璽 </t>
  </si>
  <si>
    <t>啟示出版,</t>
  </si>
  <si>
    <t>249.933 8653 2009</t>
  </si>
  <si>
    <t>D0002486</t>
  </si>
  <si>
    <t>超邁文化國際,</t>
  </si>
  <si>
    <t>857.7 8846 2009</t>
  </si>
  <si>
    <t>D0002499</t>
  </si>
  <si>
    <t xml:space="preserve">何振忠 </t>
  </si>
  <si>
    <t>行政院衛生署,</t>
  </si>
  <si>
    <t>410.9 8224 2008</t>
  </si>
  <si>
    <t>D0002549</t>
  </si>
  <si>
    <t xml:space="preserve">陳葆琳 </t>
  </si>
  <si>
    <t>大塊出版,</t>
  </si>
  <si>
    <t>416 8724 2008</t>
  </si>
  <si>
    <t>D0002573</t>
  </si>
  <si>
    <t>傅偉勳著</t>
  </si>
  <si>
    <t xml:space="preserve">正中, </t>
  </si>
  <si>
    <t>412.6 8578 1993</t>
  </si>
  <si>
    <t>D0002591</t>
  </si>
  <si>
    <t xml:space="preserve">陳光明 </t>
  </si>
  <si>
    <t>臺灣精神醫學會,</t>
  </si>
  <si>
    <t>415.999 8746 2001</t>
  </si>
  <si>
    <t>D0002596</t>
  </si>
  <si>
    <t>薩克斯(Sacks, Oliver W.)</t>
  </si>
  <si>
    <t>910.14 8556 2008</t>
  </si>
  <si>
    <t>D0002623</t>
  </si>
  <si>
    <t xml:space="preserve">韋格伯格(Veggeberg, Scott) </t>
  </si>
  <si>
    <t>寰宇出版,</t>
  </si>
  <si>
    <t>415.97 8546 1997</t>
  </si>
  <si>
    <t>D0002625</t>
  </si>
  <si>
    <t xml:space="preserve">薩克斯(Sacks, Oliver W.) </t>
  </si>
  <si>
    <t>天下文化出版,</t>
  </si>
  <si>
    <t>415.9 8555-2 1996</t>
  </si>
  <si>
    <t>D0002628</t>
  </si>
  <si>
    <t>龍雅可(Longaker, Christine)著</t>
  </si>
  <si>
    <t>397.18 8345 1999</t>
  </si>
  <si>
    <t>D0002668</t>
  </si>
  <si>
    <t xml:space="preserve">傅尼(Fournier, Jean-Louis, 1938-) </t>
  </si>
  <si>
    <t>876.6 8558 2009</t>
  </si>
  <si>
    <t>D0002700</t>
  </si>
  <si>
    <t xml:space="preserve">普萊思(Price, Reynolds, 1933-) </t>
  </si>
  <si>
    <t>417.8 8384 1999</t>
  </si>
  <si>
    <t>D0002726</t>
  </si>
  <si>
    <t xml:space="preserve">花蓮慈濟醫學中心 </t>
  </si>
  <si>
    <t>原水文化, 靜思文化出版,</t>
  </si>
  <si>
    <t>416.17 8546 2008</t>
  </si>
  <si>
    <t>D0002749</t>
  </si>
  <si>
    <t xml:space="preserve">山德斯(Sanders, Lisa, 1956-    ) </t>
  </si>
  <si>
    <t>天下遠見,</t>
  </si>
  <si>
    <t>415.21 8655 2010</t>
  </si>
  <si>
    <t>D0002837</t>
  </si>
  <si>
    <t xml:space="preserve">邦彥 </t>
  </si>
  <si>
    <t>東雨文化,</t>
  </si>
  <si>
    <t>861.57 8436 2007</t>
  </si>
  <si>
    <t>D0002880</t>
  </si>
  <si>
    <t>成島香里著</t>
  </si>
  <si>
    <t>410.7 8455 2002</t>
  </si>
  <si>
    <t>D0002883</t>
  </si>
  <si>
    <t>奧特曼(Altman, Lawrence K.)著</t>
  </si>
  <si>
    <t>415 8958 2000</t>
  </si>
  <si>
    <t>2000</t>
  </si>
  <si>
    <t>D0002888</t>
  </si>
  <si>
    <t xml:space="preserve">瀨戶山元一 </t>
  </si>
  <si>
    <t>419.2 8256 2005</t>
  </si>
  <si>
    <t>D0002969</t>
  </si>
  <si>
    <t xml:space="preserve">拉蔻塔(Lakotta, Beate, 1965-) </t>
  </si>
  <si>
    <t>大塊文化出版,</t>
  </si>
  <si>
    <t>419.825 8464 2008</t>
  </si>
  <si>
    <t>D0002970</t>
  </si>
  <si>
    <t xml:space="preserve">行政院衛生署編 </t>
  </si>
  <si>
    <t xml:space="preserve">行政院衛生署疾病管制局, </t>
  </si>
  <si>
    <t>412.4 8726 2000</t>
  </si>
  <si>
    <t>D0003031</t>
  </si>
  <si>
    <t xml:space="preserve">柯恩(Cohen, Richard M.) </t>
  </si>
  <si>
    <t>415.925 854 2006</t>
  </si>
  <si>
    <t>D0003102</t>
  </si>
  <si>
    <t>于劍興</t>
  </si>
  <si>
    <t>419.47 8574 2010</t>
  </si>
  <si>
    <t>D0003104</t>
  </si>
  <si>
    <t xml:space="preserve">胡曉菁著 </t>
  </si>
  <si>
    <t>大田,</t>
  </si>
  <si>
    <t>415.998 8465 2001</t>
  </si>
  <si>
    <t>D0003165</t>
  </si>
  <si>
    <t xml:space="preserve">林浩聰(Lam, Vincent) </t>
  </si>
  <si>
    <t>885.357 8566 2008</t>
  </si>
  <si>
    <t>D0003173</t>
  </si>
  <si>
    <t xml:space="preserve">蒙尼帝(Monette,Paul)著 </t>
  </si>
  <si>
    <t>允晨文化,</t>
  </si>
  <si>
    <t>415.238 8664 2008</t>
  </si>
  <si>
    <t>D0003232</t>
  </si>
  <si>
    <t xml:space="preserve">陳皇光著 </t>
  </si>
  <si>
    <t>寶瓶文化,</t>
  </si>
  <si>
    <t>429 8736 2008</t>
  </si>
  <si>
    <t>D0003276</t>
  </si>
  <si>
    <t xml:space="preserve">諾柏(Noble, Elizabeth, 1968-) </t>
  </si>
  <si>
    <t>873.57 834 2009</t>
  </si>
  <si>
    <t>D0003298</t>
  </si>
  <si>
    <t xml:space="preserve">PicoultJodi著 </t>
  </si>
  <si>
    <t>874.57 8745:2-3 2010</t>
  </si>
  <si>
    <t>D0003383</t>
  </si>
  <si>
    <t xml:space="preserve">克里奇頓(Crichton, Michael, 1942-) </t>
  </si>
  <si>
    <t>874.57 8733 2008</t>
  </si>
  <si>
    <t>D0003403</t>
  </si>
  <si>
    <t xml:space="preserve">星屑著 </t>
  </si>
  <si>
    <t>天行者,</t>
  </si>
  <si>
    <t>410.07 8544 2008</t>
  </si>
  <si>
    <t>D0003415</t>
  </si>
  <si>
    <t xml:space="preserve">Singh Kathleen Dowlin作 </t>
  </si>
  <si>
    <t>心靈工坊文化出版,</t>
  </si>
  <si>
    <t>191.9 8667 2010</t>
  </si>
  <si>
    <t>D0003433</t>
  </si>
  <si>
    <t xml:space="preserve">韋至信著 </t>
  </si>
  <si>
    <t>文經社,</t>
  </si>
  <si>
    <t>417.8 8546 2010</t>
  </si>
  <si>
    <t>D0003471</t>
  </si>
  <si>
    <t xml:space="preserve">林俊龍著 </t>
  </si>
  <si>
    <t>經典雜誌,慈濟傳播人文志業基金會出版,</t>
  </si>
  <si>
    <t>419.327 8793 2011</t>
  </si>
  <si>
    <t>D0003472</t>
  </si>
  <si>
    <t xml:space="preserve">海堂尊 </t>
  </si>
  <si>
    <t>861.57 8252 2008</t>
  </si>
  <si>
    <t>D0003504</t>
  </si>
  <si>
    <t>慈濟大學人文室編著</t>
  </si>
  <si>
    <t xml:space="preserve">慈濟文化, </t>
  </si>
  <si>
    <t>394 8765 2002</t>
  </si>
  <si>
    <t>D0003574</t>
  </si>
  <si>
    <t xml:space="preserve">德里羅(DeLillo, Don) </t>
  </si>
  <si>
    <t>874.57 8776 2009</t>
  </si>
  <si>
    <t>D0003597</t>
  </si>
  <si>
    <t>慈濟文化</t>
  </si>
  <si>
    <t>855 8967 2001 c.2</t>
  </si>
  <si>
    <t>D0003603</t>
  </si>
  <si>
    <t>譚米特(Tammet, Daniel)著</t>
  </si>
  <si>
    <t>415.9468 8465 2008</t>
  </si>
  <si>
    <t>D0003627</t>
  </si>
  <si>
    <t>艾爾邦(Albom, Mitch)著</t>
  </si>
  <si>
    <t xml:space="preserve">大塊文化出版 : ;大和書報總經銷, </t>
  </si>
  <si>
    <t>874.57 837 2007</t>
  </si>
  <si>
    <t>D0003664</t>
  </si>
  <si>
    <t xml:space="preserve">東京放送, . </t>
  </si>
  <si>
    <t>416.2352 8335 2008</t>
  </si>
  <si>
    <t>D0003694</t>
  </si>
  <si>
    <t>慈濟道侶</t>
  </si>
  <si>
    <t>419.9 8752 1996</t>
  </si>
  <si>
    <t>D0003702</t>
  </si>
  <si>
    <t xml:space="preserve">曾國榮著 </t>
  </si>
  <si>
    <t>417.907 8356 2008</t>
  </si>
  <si>
    <t>D0003768</t>
  </si>
  <si>
    <t xml:space="preserve">黃羽華 </t>
  </si>
  <si>
    <t>417.8 8346 2006</t>
  </si>
  <si>
    <t>D0003846</t>
  </si>
  <si>
    <t>行政院衛生署</t>
  </si>
  <si>
    <t>410.07 8767 1999</t>
  </si>
  <si>
    <t>D0003870</t>
  </si>
  <si>
    <t xml:space="preserve">侯文詠著 </t>
  </si>
  <si>
    <t>皇冠,</t>
  </si>
  <si>
    <t>855 8966 2001</t>
  </si>
  <si>
    <t>D0003984</t>
  </si>
  <si>
    <t>彰化基督教醫院</t>
  </si>
  <si>
    <t>419.9 8763 2000</t>
  </si>
  <si>
    <t>D0004019</t>
  </si>
  <si>
    <t xml:space="preserve">呂政達,1962- </t>
  </si>
  <si>
    <t>大村文化出版,</t>
  </si>
  <si>
    <t>586.51 8577 1995</t>
  </si>
  <si>
    <t>D0004043</t>
  </si>
  <si>
    <t xml:space="preserve">唐涵(Downham, Jenny)著 </t>
  </si>
  <si>
    <t>皇冠文化,</t>
  </si>
  <si>
    <t>873.57 8772 2009</t>
  </si>
  <si>
    <t>D0004050</t>
  </si>
  <si>
    <t xml:space="preserve">陳維鸚著 </t>
  </si>
  <si>
    <t>聯合文學出版,</t>
  </si>
  <si>
    <t>855 8764:2 2011</t>
  </si>
  <si>
    <t>D0004121</t>
  </si>
  <si>
    <t>日野原重明著</t>
  </si>
  <si>
    <t xml:space="preserve">三民總經銷, ;東大發行 : </t>
  </si>
  <si>
    <t>198.41 8563 1997 c.2</t>
  </si>
  <si>
    <t>D0004132</t>
  </si>
  <si>
    <t xml:space="preserve">魏爾邁(Wilmut, Ian) </t>
  </si>
  <si>
    <t>究竟,</t>
  </si>
  <si>
    <t>363.31 8538 2000</t>
  </si>
  <si>
    <t>D0004134</t>
  </si>
  <si>
    <t>羅恩(Lown, Bernard)著</t>
  </si>
  <si>
    <t>410.1 8474 2000</t>
  </si>
  <si>
    <t>D0004165</t>
  </si>
  <si>
    <t>慈濟文化志業中心</t>
  </si>
  <si>
    <t>397.18 8433 1998</t>
  </si>
  <si>
    <t>D0004174</t>
  </si>
  <si>
    <t xml:space="preserve">謝博生著 </t>
  </si>
  <si>
    <t xml:space="preserve">台灣大學醫學院, </t>
  </si>
  <si>
    <t>410.9232 8236 2001</t>
  </si>
  <si>
    <t>D0004206</t>
  </si>
  <si>
    <t>張榮攀</t>
  </si>
  <si>
    <t>397.18 8765 1997</t>
  </si>
  <si>
    <t>D0004214</t>
  </si>
  <si>
    <t>856.9 8377 1997</t>
  </si>
  <si>
    <t>D0004222</t>
  </si>
  <si>
    <t>經典文化</t>
  </si>
  <si>
    <t>874.51 8544 1999</t>
  </si>
  <si>
    <t>D0004245</t>
  </si>
  <si>
    <t xml:space="preserve">GenovaLisa著 </t>
  </si>
  <si>
    <t>874.57 8236 2010</t>
  </si>
  <si>
    <t>D0004246</t>
  </si>
  <si>
    <t xml:space="preserve">布克斯巴姆(Buxbaum, Julie) </t>
  </si>
  <si>
    <t>馬可孛羅文化出版,</t>
  </si>
  <si>
    <t>874.57 8557 2011</t>
  </si>
  <si>
    <t>D0004275</t>
  </si>
  <si>
    <t>547.16 8654 2010 c.2</t>
  </si>
  <si>
    <t>D0004365</t>
  </si>
  <si>
    <t>394 8765 1999</t>
  </si>
  <si>
    <t>D0004394</t>
  </si>
  <si>
    <t xml:space="preserve">滿庭花雨著 </t>
  </si>
  <si>
    <t>水星文化出版,</t>
  </si>
  <si>
    <t>857.7 8636 2008</t>
  </si>
  <si>
    <t>D0004412</t>
  </si>
  <si>
    <t xml:space="preserve">林靜靜 </t>
  </si>
  <si>
    <t>董氏基金會,</t>
  </si>
  <si>
    <t>412.12 8755 2002</t>
  </si>
  <si>
    <t>D0004441</t>
  </si>
  <si>
    <t xml:space="preserve">穆索(Musso, Guillaume) </t>
  </si>
  <si>
    <t xml:space="preserve">皇冠, </t>
  </si>
  <si>
    <t>876.57 883 2009</t>
  </si>
  <si>
    <t>D0004457</t>
  </si>
  <si>
    <t xml:space="preserve">科倫(Kluun, 1964-) </t>
  </si>
  <si>
    <t>881.657 877 2008</t>
  </si>
  <si>
    <t>D0004476</t>
  </si>
  <si>
    <t>Partridge, Jeff.</t>
  </si>
  <si>
    <t>Alexandra Hospital and Singapore Polytechnic,</t>
  </si>
  <si>
    <t>WX28 JS6 1998</t>
  </si>
  <si>
    <t>D0004497</t>
  </si>
  <si>
    <t xml:space="preserve">南丁格爾(Nightingale, Florence, 1820-1910) </t>
  </si>
  <si>
    <t>校園書房,</t>
  </si>
  <si>
    <t>419.941 8554 2004</t>
  </si>
  <si>
    <t>D0004498</t>
  </si>
  <si>
    <t xml:space="preserve">佛杜錫克(Vertosick, Frank T., Jr.) </t>
  </si>
  <si>
    <t>415.208 8748 2004</t>
  </si>
  <si>
    <t>D0004547</t>
  </si>
  <si>
    <t>詹納(Zaner, Richard M.)著</t>
  </si>
  <si>
    <t xml:space="preserve">心靈工坊文化出版 : ;大和書報總經銷, </t>
  </si>
  <si>
    <t>410.1 865 2001</t>
  </si>
  <si>
    <t>D0004549</t>
  </si>
  <si>
    <t xml:space="preserve">魯凱斯(Lukas, Christopher)著 </t>
  </si>
  <si>
    <t>191.9 8545 2001</t>
  </si>
  <si>
    <t>D0004550</t>
  </si>
  <si>
    <t xml:space="preserve">庫伯勒-羅斯(Kubler-Ross, Elisabeth)著 </t>
  </si>
  <si>
    <t xml:space="preserve">張老師, </t>
  </si>
  <si>
    <t>191.9 8466 2000</t>
  </si>
  <si>
    <t>D0004567</t>
  </si>
  <si>
    <t xml:space="preserve">閻雲 </t>
  </si>
  <si>
    <t>慈濟文化志業中心,</t>
  </si>
  <si>
    <t>417.8 843 2002</t>
  </si>
  <si>
    <t>D0004604</t>
  </si>
  <si>
    <t xml:space="preserve">BrowneSylvia </t>
  </si>
  <si>
    <t>人本自然出版,</t>
  </si>
  <si>
    <t>215.7 853 2005</t>
  </si>
  <si>
    <t>D0004606</t>
  </si>
  <si>
    <t xml:space="preserve">陳美羿 </t>
  </si>
  <si>
    <t>靜思文化,</t>
  </si>
  <si>
    <t>415.2776 8765 2002</t>
  </si>
  <si>
    <t>D0004608</t>
  </si>
  <si>
    <t xml:space="preserve">肖普豪斯(Schophaus, Michael) </t>
  </si>
  <si>
    <t>高富國際文化出版,</t>
  </si>
  <si>
    <t>875.57 835 2002</t>
  </si>
  <si>
    <t>D0004613</t>
  </si>
  <si>
    <t xml:space="preserve">李淑娟(醫學) </t>
  </si>
  <si>
    <t>412.099 8466 2002</t>
  </si>
  <si>
    <t>D0004614</t>
  </si>
  <si>
    <t>海鴿文化,</t>
  </si>
  <si>
    <t>419.825 8433-3 2002</t>
  </si>
  <si>
    <t>D0004615</t>
  </si>
  <si>
    <t xml:space="preserve">許禮安著 </t>
  </si>
  <si>
    <t xml:space="preserve">海鴿文化, </t>
  </si>
  <si>
    <t>419.825 8433-2 2002</t>
  </si>
  <si>
    <t>D0004629</t>
  </si>
  <si>
    <t xml:space="preserve">川田洋一 </t>
  </si>
  <si>
    <t>東大,</t>
  </si>
  <si>
    <t>220.16 7542 2002</t>
  </si>
  <si>
    <t>D0004707</t>
  </si>
  <si>
    <t>417.8 8466 1998</t>
  </si>
  <si>
    <t>D0004727</t>
  </si>
  <si>
    <t xml:space="preserve">廖云釩作 </t>
  </si>
  <si>
    <t>人本自然文化出版,</t>
  </si>
  <si>
    <t>418.984 8535 2007</t>
  </si>
  <si>
    <t>D0004743</t>
  </si>
  <si>
    <t xml:space="preserve">簡守信 </t>
  </si>
  <si>
    <t>410.46 8626 2003</t>
  </si>
  <si>
    <t>D0004766</t>
  </si>
  <si>
    <t xml:space="preserve">何曼德 </t>
  </si>
  <si>
    <t>新新聞文化出版,</t>
  </si>
  <si>
    <t>419.9232 8785 2002</t>
  </si>
  <si>
    <t>D0004767</t>
  </si>
  <si>
    <t xml:space="preserve">廖雪芳著 </t>
  </si>
  <si>
    <t xml:space="preserve">天下雜誌出版 : ;大和圖書總經銷, </t>
  </si>
  <si>
    <t>412.099 8547 2002</t>
  </si>
  <si>
    <t>D0004804</t>
  </si>
  <si>
    <t xml:space="preserve">許禮安 </t>
  </si>
  <si>
    <t>419.825 8433-4 2003</t>
  </si>
  <si>
    <t>D0004827</t>
  </si>
  <si>
    <t xml:space="preserve">韋至信 </t>
  </si>
  <si>
    <t>417.8 8546-2 2003</t>
  </si>
  <si>
    <t>D0004828</t>
  </si>
  <si>
    <t>陳鳳妹</t>
  </si>
  <si>
    <t>419.825 8759 2001</t>
  </si>
  <si>
    <t>D0004832</t>
  </si>
  <si>
    <t xml:space="preserve">大塊文化出版 : ;北城總經銷, </t>
  </si>
  <si>
    <t>191 8837 1998</t>
  </si>
  <si>
    <t>D0004837</t>
  </si>
  <si>
    <t>林美琪責任編輯</t>
  </si>
  <si>
    <t>857.85 823 2003 v.2</t>
  </si>
  <si>
    <t>D0004839</t>
  </si>
  <si>
    <t xml:space="preserve">劉大元作 </t>
  </si>
  <si>
    <t>暢銷書工作室,</t>
  </si>
  <si>
    <t>418.9 8775 2003</t>
  </si>
  <si>
    <t>D0004867</t>
  </si>
  <si>
    <t xml:space="preserve">張毅生 </t>
  </si>
  <si>
    <t>民生報出版,</t>
  </si>
  <si>
    <t>410.07 8766 1996</t>
  </si>
  <si>
    <t>D0004886</t>
  </si>
  <si>
    <t>410.07 8665 2003</t>
  </si>
  <si>
    <t>D0004896</t>
  </si>
  <si>
    <t xml:space="preserve">高曼(Goldman, Linda, 1946-) </t>
  </si>
  <si>
    <t>173.1 8458 2001</t>
  </si>
  <si>
    <t>D0004917</t>
  </si>
  <si>
    <t xml:space="preserve">柏木哲夫 </t>
  </si>
  <si>
    <t>方智,</t>
  </si>
  <si>
    <t>419.825 8474 2000</t>
  </si>
  <si>
    <t>D0004918</t>
  </si>
  <si>
    <t xml:space="preserve">馬鳳岐 </t>
  </si>
  <si>
    <t>419.9 8358 2002</t>
  </si>
  <si>
    <t>D0005045</t>
  </si>
  <si>
    <t xml:space="preserve">張明志(醫學) </t>
  </si>
  <si>
    <t>字磨坊文化出版,</t>
  </si>
  <si>
    <t>419.39 8753 2003</t>
  </si>
  <si>
    <t>D0005101</t>
  </si>
  <si>
    <t>191 8753 2003</t>
  </si>
  <si>
    <t>D0005185</t>
  </si>
  <si>
    <t>台灣婦幼衛生協會</t>
  </si>
  <si>
    <t>412.81 8763 2004</t>
  </si>
  <si>
    <t>D0005193</t>
  </si>
  <si>
    <t>陳美玲</t>
  </si>
  <si>
    <t>財團法人彰化基督教醫院史文物館,</t>
  </si>
  <si>
    <t>410.9 8763 2000</t>
  </si>
  <si>
    <t>D0005204</t>
  </si>
  <si>
    <t>慈濟中文期刊部</t>
  </si>
  <si>
    <t>410.07 8463 2004</t>
  </si>
  <si>
    <t>D0005205</t>
  </si>
  <si>
    <t>410.07 8463 2004 c.2</t>
  </si>
  <si>
    <t>D0005213</t>
  </si>
  <si>
    <t xml:space="preserve">曹又方,1942- </t>
  </si>
  <si>
    <t>圓神,</t>
  </si>
  <si>
    <t>414.3 8475 1999</t>
  </si>
  <si>
    <t>D0005232</t>
  </si>
  <si>
    <t xml:space="preserve">侯文詠(醫學) </t>
  </si>
  <si>
    <t>192 8966 1995</t>
  </si>
  <si>
    <t>D0005235</t>
  </si>
  <si>
    <t>蘇蔡彩秋</t>
  </si>
  <si>
    <t>台中市抗癌人保健協會, 高雄市抗癌服務協會發行,</t>
  </si>
  <si>
    <t>419.7 8848 2003</t>
  </si>
  <si>
    <t>D0005254</t>
  </si>
  <si>
    <t>中華民國婦產科醫學會</t>
  </si>
  <si>
    <t>419.9 8537 1999</t>
  </si>
  <si>
    <t>D0005256</t>
  </si>
  <si>
    <t>葉文鶯著</t>
  </si>
  <si>
    <t xml:space="preserve">慈濟中文期刊部, </t>
  </si>
  <si>
    <t>410.07 8862 2004</t>
  </si>
  <si>
    <t>D0005261</t>
  </si>
  <si>
    <t>屏東基督教醫院</t>
  </si>
  <si>
    <t>419.16 8574 2003</t>
  </si>
  <si>
    <t>D0005289</t>
  </si>
  <si>
    <t xml:space="preserve">查謝(Zachert, Christel)著 </t>
  </si>
  <si>
    <t>九儀出版,</t>
  </si>
  <si>
    <t>875.57 8755 1996</t>
  </si>
  <si>
    <t>D0005318</t>
  </si>
  <si>
    <t xml:space="preserve">賴其萬 </t>
  </si>
  <si>
    <t>410.2 8334 2003</t>
  </si>
  <si>
    <t>D0005319</t>
  </si>
  <si>
    <t>賴其萬等著</t>
  </si>
  <si>
    <t>410.2 8334-2 2003</t>
  </si>
  <si>
    <t>D0005321</t>
  </si>
  <si>
    <t xml:space="preserve">李淑娟(新聞學) ;林怡君 </t>
  </si>
  <si>
    <t>臺北市衛生局,</t>
  </si>
  <si>
    <t>415.4 8466 2003</t>
  </si>
  <si>
    <t>D0005323</t>
  </si>
  <si>
    <t>410.07 8862 2004 c.2</t>
  </si>
  <si>
    <t>D0005324</t>
  </si>
  <si>
    <t xml:space="preserve">努蘭(Nuland, Sherwin B.)著 </t>
  </si>
  <si>
    <t>397 888 1998</t>
  </si>
  <si>
    <t>D0005325</t>
  </si>
  <si>
    <t xml:space="preserve">卡森(Carson, Ben) </t>
  </si>
  <si>
    <t>智庫出版,</t>
  </si>
  <si>
    <t>410.9952 847 2004</t>
  </si>
  <si>
    <t>D0005326</t>
  </si>
  <si>
    <t xml:space="preserve">劉湘吟 </t>
  </si>
  <si>
    <t>圓神出版,</t>
  </si>
  <si>
    <t>419.9 8735 2004</t>
  </si>
  <si>
    <t>D0005369</t>
  </si>
  <si>
    <t>翁澤(Hennezel,Marie de)原著</t>
  </si>
  <si>
    <t>191.9 864 2000</t>
  </si>
  <si>
    <t>D0005370</t>
  </si>
  <si>
    <t xml:space="preserve">川圭一 </t>
  </si>
  <si>
    <t>861.6 8744 2003</t>
  </si>
  <si>
    <t>D0005374</t>
  </si>
  <si>
    <t xml:space="preserve">莫艾倫(Moalem, Sharon) </t>
  </si>
  <si>
    <t>415.155 8887 2011</t>
  </si>
  <si>
    <t>D0005378</t>
  </si>
  <si>
    <t>張文</t>
  </si>
  <si>
    <t>佳赫文化行銷,</t>
  </si>
  <si>
    <t>173.31 8746 2009</t>
  </si>
  <si>
    <t>D0005381</t>
  </si>
  <si>
    <t>賴其萬著</t>
  </si>
  <si>
    <t>856.286 8334 2001</t>
  </si>
  <si>
    <t>D0005402</t>
  </si>
  <si>
    <t>529.5 8233 2002</t>
  </si>
  <si>
    <t>D0005403</t>
  </si>
  <si>
    <t>410.07 8377 2001</t>
  </si>
  <si>
    <t>D0005404</t>
  </si>
  <si>
    <t xml:space="preserve">張文亮 </t>
  </si>
  <si>
    <t>782.886 86458764 2002</t>
  </si>
  <si>
    <t>D0005432</t>
  </si>
  <si>
    <t xml:space="preserve">CookRobin著 </t>
  </si>
  <si>
    <t>風向球文化,</t>
  </si>
  <si>
    <t>874.57 845:2 2008</t>
  </si>
  <si>
    <t>D0005479</t>
  </si>
  <si>
    <t xml:space="preserve">黃信恩 </t>
  </si>
  <si>
    <t>855 8364 2009</t>
  </si>
  <si>
    <t>D0005484</t>
  </si>
  <si>
    <t>419.9232 8574 2004</t>
  </si>
  <si>
    <t>PGY</t>
  </si>
  <si>
    <t>D0005485</t>
  </si>
  <si>
    <t xml:space="preserve">論壇生命暨醫療倫理委員會編著 </t>
  </si>
  <si>
    <t>國家衛生研究院,</t>
  </si>
  <si>
    <t>410.1022 8447 2004</t>
  </si>
  <si>
    <t>D0005488</t>
  </si>
  <si>
    <t>415.932 8334 2004</t>
  </si>
  <si>
    <t>D0005489</t>
  </si>
  <si>
    <t>410.07 8364 2004</t>
  </si>
  <si>
    <t>D0005490</t>
  </si>
  <si>
    <t>羅森堡(Rosenbaum, Edward E.)著</t>
  </si>
  <si>
    <t>419.952 8577 2000</t>
  </si>
  <si>
    <t>D0005491</t>
  </si>
  <si>
    <t>田中真由美作</t>
  </si>
  <si>
    <t xml:space="preserve">原水文化, </t>
  </si>
  <si>
    <t>410.7 8563 2004 c.2</t>
  </si>
  <si>
    <t>D0005493</t>
  </si>
  <si>
    <t>410.7 8448 2002</t>
  </si>
  <si>
    <t>一般外科</t>
  </si>
  <si>
    <t>D0005494</t>
  </si>
  <si>
    <t>410.7 8558 2004</t>
  </si>
  <si>
    <t>D0005495</t>
  </si>
  <si>
    <t xml:space="preserve">和信治癌中心醫院著 </t>
  </si>
  <si>
    <t>天下生活出版,</t>
  </si>
  <si>
    <t>410.14 8663 2001</t>
  </si>
  <si>
    <t>D0005506</t>
  </si>
  <si>
    <t>410.07 8377 2001 c.2</t>
  </si>
  <si>
    <t>D0005507</t>
  </si>
  <si>
    <t>黃達夫著</t>
  </si>
  <si>
    <t xml:space="preserve">黎銘總經銷, ;天下遠見 : </t>
  </si>
  <si>
    <t>410.07 8377 1999</t>
  </si>
  <si>
    <t>D0005508</t>
  </si>
  <si>
    <t>吳德朗著</t>
  </si>
  <si>
    <t>典藏藝術家庭出版,</t>
  </si>
  <si>
    <t>419.9232 8853 2004</t>
  </si>
  <si>
    <t>D0005538</t>
  </si>
  <si>
    <t xml:space="preserve">片山恭一 </t>
  </si>
  <si>
    <t>861.57 8564 2004</t>
  </si>
  <si>
    <t>D0005546</t>
  </si>
  <si>
    <t xml:space="preserve">謝其濬 </t>
  </si>
  <si>
    <t>782.886 8233 2003</t>
  </si>
  <si>
    <t>D0005555</t>
  </si>
  <si>
    <t xml:space="preserve">陳庵君 </t>
  </si>
  <si>
    <t>419.9232 8744 2004</t>
  </si>
  <si>
    <t>D0005557</t>
  </si>
  <si>
    <t>548.317 8766 2005</t>
  </si>
  <si>
    <t>D0005569</t>
  </si>
  <si>
    <t>佛杜錫克(Vertosick, Frank T., Jr.)著</t>
  </si>
  <si>
    <t xml:space="preserve">黎銘總經銷, ;天下遠見出版 : </t>
  </si>
  <si>
    <t>416.29 8748 1999</t>
  </si>
  <si>
    <t>D0005585</t>
  </si>
  <si>
    <t>翁澤(Hennezel, Marie de)</t>
  </si>
  <si>
    <t>419.2 8036 2001</t>
  </si>
  <si>
    <t>D0005586</t>
  </si>
  <si>
    <t>賴其萬作</t>
  </si>
  <si>
    <t>410.7 8334 2000</t>
  </si>
  <si>
    <t>D0005686</t>
  </si>
  <si>
    <t xml:space="preserve">吳靜美 ;曾文哲 ;詹汝娟 </t>
  </si>
  <si>
    <t>允晨文化出版,</t>
  </si>
  <si>
    <t>410.07 8364 1994</t>
  </si>
  <si>
    <t>D0005811</t>
  </si>
  <si>
    <t>410.1022 8447 2004 c.2</t>
  </si>
  <si>
    <t>D0005913</t>
  </si>
  <si>
    <t xml:space="preserve">米勒(Miller, Andrew) </t>
  </si>
  <si>
    <t>天培文化出版,</t>
  </si>
  <si>
    <t>873.57 866 2000</t>
  </si>
  <si>
    <t>D0005920</t>
  </si>
  <si>
    <t xml:space="preserve">謝博生 </t>
  </si>
  <si>
    <t>國立臺灣大學醫學院出版,</t>
  </si>
  <si>
    <t>410 8236 2003</t>
  </si>
  <si>
    <t>D0005964</t>
  </si>
  <si>
    <t>郭綜合醫院</t>
  </si>
  <si>
    <t>419.9 8456 1998</t>
  </si>
  <si>
    <t>D0005982</t>
  </si>
  <si>
    <t>台灣基督長老教會新樓醫院</t>
  </si>
  <si>
    <t>410.9232 8373 1998</t>
  </si>
  <si>
    <t>D0005983</t>
  </si>
  <si>
    <t>410.9232 8373 1998 c.2</t>
  </si>
  <si>
    <t>D0006064</t>
  </si>
  <si>
    <t>邱浩彰</t>
  </si>
  <si>
    <t>410.3 8735 2010</t>
  </si>
  <si>
    <t>D0006065</t>
  </si>
  <si>
    <t>410.3 8735 2010 c.2</t>
  </si>
  <si>
    <t>D0006079</t>
  </si>
  <si>
    <t>于劍興;何姿儀</t>
  </si>
  <si>
    <t>419.333 8574 2005</t>
  </si>
  <si>
    <t>D0006188</t>
  </si>
  <si>
    <t xml:space="preserve">文衍正著 </t>
  </si>
  <si>
    <t>永然文化,</t>
  </si>
  <si>
    <t>412.12 8674 1997</t>
  </si>
  <si>
    <t>D0006189</t>
  </si>
  <si>
    <t>412.12 8674 1998</t>
  </si>
  <si>
    <t>D0006191</t>
  </si>
  <si>
    <t xml:space="preserve">黃丁全 </t>
  </si>
  <si>
    <t>永然文化出版,</t>
  </si>
  <si>
    <t>412.12 8456 1999</t>
  </si>
  <si>
    <t>D0006197</t>
  </si>
  <si>
    <t xml:space="preserve">山崎豐子著 </t>
  </si>
  <si>
    <t>861.57 8665-2 2005 V.1</t>
  </si>
  <si>
    <t>D0006198</t>
  </si>
  <si>
    <t>861.57 8665-2 2005 V.2</t>
  </si>
  <si>
    <t>D0006199</t>
  </si>
  <si>
    <t>861.57 8665-2 2005 V.3</t>
  </si>
  <si>
    <t>D0006202</t>
  </si>
  <si>
    <t>日月文化出版</t>
  </si>
  <si>
    <t>859.7 8795 2005</t>
  </si>
  <si>
    <t>D0006348</t>
  </si>
  <si>
    <t xml:space="preserve">湯姆斯(Thomas, Lewis)著 </t>
  </si>
  <si>
    <t>419.952 8555 2002</t>
  </si>
  <si>
    <t>D0006558</t>
  </si>
  <si>
    <t xml:space="preserve">鄭曉江著 </t>
  </si>
  <si>
    <t>191.9 8463 2001</t>
  </si>
  <si>
    <t>D0006589</t>
  </si>
  <si>
    <t xml:space="preserve">古柏曼(Groopman, Jerome E.) </t>
  </si>
  <si>
    <t>410.7 8448-2 2004</t>
  </si>
  <si>
    <t>教學部</t>
  </si>
  <si>
    <t>D0006590</t>
  </si>
  <si>
    <t xml:space="preserve">顧景怡著 </t>
  </si>
  <si>
    <t>548.15 8243 2005</t>
  </si>
  <si>
    <t>D0006591</t>
  </si>
  <si>
    <t xml:space="preserve">黃崑巖 </t>
  </si>
  <si>
    <t>078 8368 2000</t>
  </si>
  <si>
    <t>D0006618</t>
  </si>
  <si>
    <t>874.57 8745:2 2006</t>
  </si>
  <si>
    <t>D0006682</t>
  </si>
  <si>
    <t>臺中市開懷協會</t>
  </si>
  <si>
    <t>416.226 8753:2 2004</t>
  </si>
  <si>
    <t>D0006760</t>
  </si>
  <si>
    <t>郭漢崇著</t>
  </si>
  <si>
    <t xml:space="preserve">原水文化出版 : ;家庭傳播媒城邦分公司發行, </t>
  </si>
  <si>
    <t>415.8 8464 2005</t>
  </si>
  <si>
    <t>D0006761</t>
  </si>
  <si>
    <t>415.8 8464 2005 c.2</t>
  </si>
  <si>
    <t>D0006776</t>
  </si>
  <si>
    <t xml:space="preserve">家西知加子 </t>
  </si>
  <si>
    <t>尖端出版,</t>
  </si>
  <si>
    <t>861.6 8646 2000</t>
  </si>
  <si>
    <t>D0006778</t>
  </si>
  <si>
    <t>古柏曼(Groopman, Jerome)著</t>
  </si>
  <si>
    <t xml:space="preserve">天下遠見出版 : ;大和圖書書報總經銷, </t>
  </si>
  <si>
    <t>410.26 8448 2005</t>
  </si>
  <si>
    <t>D0006825</t>
  </si>
  <si>
    <t xml:space="preserve">林啟禎 </t>
  </si>
  <si>
    <t>國立成功大學,</t>
  </si>
  <si>
    <t>410.16 8762 2006</t>
  </si>
  <si>
    <t>D0006829</t>
  </si>
  <si>
    <t xml:space="preserve">齊萱 </t>
  </si>
  <si>
    <t>奧林文化出版,</t>
  </si>
  <si>
    <t>419.3232 844 1999</t>
  </si>
  <si>
    <t>D0006834</t>
  </si>
  <si>
    <t xml:space="preserve">范丹伯(van den Berg, J. H.) </t>
  </si>
  <si>
    <t>410.26 8666 2001</t>
  </si>
  <si>
    <t>D0006837</t>
  </si>
  <si>
    <t>191 8837 2001 c.2</t>
  </si>
  <si>
    <t>D0006856</t>
  </si>
  <si>
    <t>侯文詠1962-著,</t>
  </si>
  <si>
    <t>857.7 8966 1999</t>
  </si>
  <si>
    <t>D0006906</t>
  </si>
  <si>
    <t xml:space="preserve">佛教醫事人員聯合會著 </t>
  </si>
  <si>
    <t>225.5 8774 1993</t>
  </si>
  <si>
    <t>D0006909</t>
  </si>
  <si>
    <t xml:space="preserve">克萊恩(Klein, Allen) </t>
  </si>
  <si>
    <t>191.9 8584 2002</t>
  </si>
  <si>
    <t>D0006938</t>
  </si>
  <si>
    <t>周大觀著</t>
  </si>
  <si>
    <t>859.7 8676 1997</t>
  </si>
  <si>
    <t>D0006940</t>
  </si>
  <si>
    <t>派克(Peck, M. Scott(Morgan Scott), 1936-)</t>
  </si>
  <si>
    <t xml:space="preserve">張老師文化事業公司, </t>
  </si>
  <si>
    <t>874.57 875 2001</t>
  </si>
  <si>
    <t>D0006942</t>
  </si>
  <si>
    <t xml:space="preserve">皮卡蒂(Picardie, Ruth, 1964-1997) </t>
  </si>
  <si>
    <t>873.6 8746 2000</t>
  </si>
  <si>
    <t>D0006952</t>
  </si>
  <si>
    <t xml:space="preserve">拉胥梅耶(Lachenmeyer, Nathaniel, 1969-) </t>
  </si>
  <si>
    <t>415.95 8458 2003</t>
  </si>
  <si>
    <t>D0006983</t>
  </si>
  <si>
    <t>410.46 8626 2003 c.2</t>
  </si>
  <si>
    <t>D0007115</t>
  </si>
  <si>
    <t xml:space="preserve">波岱爾(Podell, Richard N., 1942-) </t>
  </si>
  <si>
    <t>月旦出版,</t>
  </si>
  <si>
    <t>410.26 8677 1997</t>
  </si>
  <si>
    <t>D0007163</t>
  </si>
  <si>
    <t>野鵝</t>
  </si>
  <si>
    <t>855 8434 1987</t>
  </si>
  <si>
    <t>1987</t>
  </si>
  <si>
    <t>D0007334</t>
  </si>
  <si>
    <t xml:space="preserve">靜思書齋 </t>
  </si>
  <si>
    <t>220.16 8544 2002</t>
  </si>
  <si>
    <t>D0007583</t>
  </si>
  <si>
    <t>414.3 8475 1999 c.2</t>
  </si>
  <si>
    <t>D0007657</t>
  </si>
  <si>
    <t xml:space="preserve">Watt,John R.(John Robertson),1934- </t>
  </si>
  <si>
    <t>ABMAC Foundation,</t>
  </si>
  <si>
    <t>R644.T28 H349 2008</t>
  </si>
  <si>
    <t>D0007666</t>
  </si>
  <si>
    <t>科林聽力保健中心</t>
  </si>
  <si>
    <t>857.85 877 2006</t>
  </si>
  <si>
    <t>D0007669</t>
  </si>
  <si>
    <t>大愛電視原著</t>
  </si>
  <si>
    <t xml:space="preserve">大愛衛星電視, </t>
  </si>
  <si>
    <t>857.7 8795 2006</t>
  </si>
  <si>
    <t>D0007679</t>
  </si>
  <si>
    <t>861.6 8744 2006</t>
  </si>
  <si>
    <t>D0007680</t>
  </si>
  <si>
    <t xml:space="preserve">凱曼瑟(Castleman, Michael) </t>
  </si>
  <si>
    <t>415.945 8568 2001</t>
  </si>
  <si>
    <t>D0007686</t>
  </si>
  <si>
    <t xml:space="preserve">趙大鼻文.圖 </t>
  </si>
  <si>
    <t>緋綠社出版,</t>
  </si>
  <si>
    <t>417.8 8474 2006</t>
  </si>
  <si>
    <t>D0007709</t>
  </si>
  <si>
    <t>410.07 8377 1999 c.2</t>
  </si>
  <si>
    <t>D0007716</t>
  </si>
  <si>
    <t xml:space="preserve">陳子衿作 </t>
  </si>
  <si>
    <t>782.886 8743 2004</t>
  </si>
  <si>
    <t>D0007718</t>
  </si>
  <si>
    <t>419.825 8863 2001</t>
  </si>
  <si>
    <t>D0007735</t>
  </si>
  <si>
    <t>191.9 8863 2005</t>
  </si>
  <si>
    <t>D0007736</t>
  </si>
  <si>
    <t>蘇絢慧作</t>
  </si>
  <si>
    <t>178.3 8863 2003</t>
  </si>
  <si>
    <t>D0007748</t>
  </si>
  <si>
    <t xml:space="preserve">林月鳳著 </t>
  </si>
  <si>
    <t>華杏發行,</t>
  </si>
  <si>
    <t>419.8 8765 1995</t>
  </si>
  <si>
    <t>D0008119</t>
  </si>
  <si>
    <t xml:space="preserve">巴伯(Barbour, Allen) </t>
  </si>
  <si>
    <t>藝軒,</t>
  </si>
  <si>
    <t>410.14 854 2002</t>
  </si>
  <si>
    <t>D0008130</t>
  </si>
  <si>
    <t xml:space="preserve">梁玉芳著 </t>
  </si>
  <si>
    <t>419.952 8636 2000</t>
  </si>
  <si>
    <t>D0008135</t>
  </si>
  <si>
    <t>861.6 8744 2006 c.2</t>
  </si>
  <si>
    <t>D0008232</t>
  </si>
  <si>
    <t xml:space="preserve">羅賓森(Robinson, Jeffrey, 1945-    ) </t>
  </si>
  <si>
    <t>418.46 8527 2002</t>
  </si>
  <si>
    <t>D0008237</t>
  </si>
  <si>
    <t>卡拉(Kalla, Daniel)作</t>
  </si>
  <si>
    <t xml:space="preserve">華文網出版 : ;彩舍國際通路總經銷, </t>
  </si>
  <si>
    <t>885.357 8773 2006</t>
  </si>
  <si>
    <t>D0008238</t>
  </si>
  <si>
    <t>國立台灣大學醫學院</t>
  </si>
  <si>
    <t>410.9232 8236 2004</t>
  </si>
  <si>
    <t>D0008379</t>
  </si>
  <si>
    <t>歐寧胥(Ornish, Dean)著</t>
  </si>
  <si>
    <t xml:space="preserve">天下生活, </t>
  </si>
  <si>
    <t>418.98 8744 2000</t>
  </si>
  <si>
    <t>D0008411</t>
  </si>
  <si>
    <t xml:space="preserve">劉樹泉 </t>
  </si>
  <si>
    <t>合記圖書發行,</t>
  </si>
  <si>
    <t>410.14 8739 2004</t>
  </si>
  <si>
    <t>D0008466</t>
  </si>
  <si>
    <t xml:space="preserve">修曼(Hillman, Ken) </t>
  </si>
  <si>
    <t>419.821 8737 2011</t>
  </si>
  <si>
    <t>D0008467</t>
  </si>
  <si>
    <t xml:space="preserve">海登(Haddon, Mark) </t>
  </si>
  <si>
    <t>873.57 8756 2009</t>
  </si>
  <si>
    <t>D0008541</t>
  </si>
  <si>
    <t xml:space="preserve">布魯默(Blumer, Ian) </t>
  </si>
  <si>
    <t>天下生活發行,</t>
  </si>
  <si>
    <t>419.1 8564 2000</t>
  </si>
  <si>
    <t>D0008542</t>
  </si>
  <si>
    <t>幼獅文化;社會關懷小說</t>
  </si>
  <si>
    <t>857.7 8463 1991</t>
  </si>
  <si>
    <t>1991</t>
  </si>
  <si>
    <t>D0008543</t>
  </si>
  <si>
    <t xml:space="preserve">吳成文 </t>
  </si>
  <si>
    <t>782.887 8836 2006</t>
  </si>
  <si>
    <t>D0008646</t>
  </si>
  <si>
    <t xml:space="preserve">陳宏(攝影) </t>
  </si>
  <si>
    <t>782.886 872 2002</t>
  </si>
  <si>
    <t>D0008706</t>
  </si>
  <si>
    <t>410.7 8563 2004</t>
  </si>
  <si>
    <t>D0008709</t>
  </si>
  <si>
    <t xml:space="preserve">黃振宇(醫學) </t>
  </si>
  <si>
    <t>新苗文化,</t>
  </si>
  <si>
    <t>410.7 8374 2002</t>
  </si>
  <si>
    <t>D0008713</t>
  </si>
  <si>
    <t>彭心楺</t>
  </si>
  <si>
    <t xml:space="preserve">寶瓶文化, </t>
  </si>
  <si>
    <t>857.63 8627 2010</t>
  </si>
  <si>
    <t>D0008800</t>
  </si>
  <si>
    <t>張耀懋(衛生學)主編</t>
  </si>
  <si>
    <t>419.927 8753 2006</t>
  </si>
  <si>
    <t>D0008879</t>
  </si>
  <si>
    <t xml:space="preserve">柯尼格(Koenig, Cheryl) </t>
  </si>
  <si>
    <t>417.58 8266 2011</t>
  </si>
  <si>
    <t>D0008882</t>
  </si>
  <si>
    <t xml:space="preserve">傑米森(Jamison, Kay R.)著 </t>
  </si>
  <si>
    <t>548.85 8967 1999</t>
  </si>
  <si>
    <t>D0008883</t>
  </si>
  <si>
    <t>198.41 8563 1997</t>
  </si>
  <si>
    <t>D0008937</t>
  </si>
  <si>
    <t>連加恩著</t>
  </si>
  <si>
    <t xml:space="preserve">圓神, </t>
  </si>
  <si>
    <t>855 8744 2004</t>
  </si>
  <si>
    <t>D0008940</t>
  </si>
  <si>
    <t xml:space="preserve">全嘉莉 </t>
  </si>
  <si>
    <t>未來書城出版,</t>
  </si>
  <si>
    <t>415 8646 2002</t>
  </si>
  <si>
    <t>D0009013</t>
  </si>
  <si>
    <t>782.18 8955</t>
  </si>
  <si>
    <t>D0009026</t>
  </si>
  <si>
    <t>季德(Kidder, Tracy)</t>
  </si>
  <si>
    <t>419.952 824 2005</t>
  </si>
  <si>
    <t>D0009054</t>
  </si>
  <si>
    <t xml:space="preserve">佛羅倫斯(Florance, Cheri L.) </t>
  </si>
  <si>
    <t>529.6 8756 2005</t>
  </si>
  <si>
    <t>D0009061</t>
  </si>
  <si>
    <t xml:space="preserve">霍爾德(Holder, Jennifer Sutton)著 </t>
  </si>
  <si>
    <t>原水出版,</t>
  </si>
  <si>
    <t>191.9 8475 2006</t>
  </si>
  <si>
    <t>D0009062</t>
  </si>
  <si>
    <t>楊治國著</t>
  </si>
  <si>
    <t xml:space="preserve">原水文化出版 : ;家庭傳媒城邦分公司發行, </t>
  </si>
  <si>
    <t>410.7 8635 2005</t>
  </si>
  <si>
    <t>D0009063</t>
  </si>
  <si>
    <t xml:space="preserve">魏崢 </t>
  </si>
  <si>
    <t>D0009066</t>
  </si>
  <si>
    <t>黃崑嚴作</t>
  </si>
  <si>
    <t>410.7 8368 2004</t>
  </si>
  <si>
    <t>D0009067</t>
  </si>
  <si>
    <t xml:space="preserve">彭昱憲 </t>
  </si>
  <si>
    <t>417.8 8652 2004</t>
  </si>
  <si>
    <t>D0009068</t>
  </si>
  <si>
    <t xml:space="preserve">許達夫 </t>
  </si>
  <si>
    <t>417.8 8477 2006</t>
  </si>
  <si>
    <t>D0009085</t>
  </si>
  <si>
    <t xml:space="preserve">巴克里(Bulkeley, Kelly, 1962-) </t>
  </si>
  <si>
    <t>175.1 8775 2006</t>
  </si>
  <si>
    <t>D0009088</t>
  </si>
  <si>
    <t xml:space="preserve">陳豐偉,1971- </t>
  </si>
  <si>
    <t>855 8757 2000</t>
  </si>
  <si>
    <t>D0009089</t>
  </si>
  <si>
    <t xml:space="preserve">鄭慧卿著 </t>
  </si>
  <si>
    <t xml:space="preserve">天下遠見出版 : ;大和圖書總經銷, </t>
  </si>
  <si>
    <t>415.18 8436 2001</t>
  </si>
  <si>
    <t>D0009091</t>
  </si>
  <si>
    <t>庫伯勒-羅斯(Kubler-Ross, Elisabeth)著</t>
  </si>
  <si>
    <t>419.952 855 1998</t>
  </si>
  <si>
    <t>D0009102</t>
  </si>
  <si>
    <t xml:space="preserve">夏洛芙(Shalof, Tilda) </t>
  </si>
  <si>
    <t>419.953 8797 2006</t>
  </si>
  <si>
    <t>D0009103</t>
  </si>
  <si>
    <t xml:space="preserve">德史佩爾德(DeSpelder, Lynne Ann, 1944-) </t>
  </si>
  <si>
    <t>麥格羅希爾出版,</t>
  </si>
  <si>
    <t>191.9 8587 2006 c.2</t>
  </si>
  <si>
    <t>D0009104</t>
  </si>
  <si>
    <t xml:space="preserve">趙凱著 </t>
  </si>
  <si>
    <t>智富出版公司,</t>
  </si>
  <si>
    <t>855 846 2006</t>
  </si>
  <si>
    <t>D0009105</t>
  </si>
  <si>
    <t xml:space="preserve">郝斯登(Housden, Maria) </t>
  </si>
  <si>
    <t>417.8 8554 2005</t>
  </si>
  <si>
    <t>D0009106</t>
  </si>
  <si>
    <t>張一森著</t>
  </si>
  <si>
    <t xml:space="preserve">慈濟人文志業中心中文期刊部, </t>
  </si>
  <si>
    <t>547.16 8439 2007</t>
  </si>
  <si>
    <t>D0009108</t>
  </si>
  <si>
    <t>巫錦輝作</t>
  </si>
  <si>
    <t>415.18 8476 2006</t>
  </si>
  <si>
    <t>D0009109</t>
  </si>
  <si>
    <t xml:space="preserve">李克翰作 </t>
  </si>
  <si>
    <t>大田出版,</t>
  </si>
  <si>
    <t>855 8453 2003</t>
  </si>
  <si>
    <t>D0009110</t>
  </si>
  <si>
    <t>李宇宙著</t>
  </si>
  <si>
    <t xml:space="preserve">心靈工坊文化, </t>
  </si>
  <si>
    <t>410.7 8443 2006</t>
  </si>
  <si>
    <t>D0009111</t>
  </si>
  <si>
    <t xml:space="preserve">冉亮,1952-2001. </t>
  </si>
  <si>
    <t>圓神出版社,</t>
  </si>
  <si>
    <t>855 8541 2001</t>
  </si>
  <si>
    <t>D0009112</t>
  </si>
  <si>
    <t xml:space="preserve">江偉君 </t>
  </si>
  <si>
    <t>二魚文化出版,</t>
  </si>
  <si>
    <t>782.886 8374 2005</t>
  </si>
  <si>
    <t>D0009115</t>
  </si>
  <si>
    <t xml:space="preserve">張裕鑫(中國文學) </t>
  </si>
  <si>
    <t>782.886 8736 2005</t>
  </si>
  <si>
    <t>D0009118</t>
  </si>
  <si>
    <t xml:space="preserve">陳子衿 </t>
  </si>
  <si>
    <t>855 8745 2006</t>
  </si>
  <si>
    <t>D0009120</t>
  </si>
  <si>
    <t xml:space="preserve">呂素貞 </t>
  </si>
  <si>
    <t>418.986 8534 2005</t>
  </si>
  <si>
    <t>D0009170</t>
  </si>
  <si>
    <t>余秀芷1974-著</t>
  </si>
  <si>
    <t xml:space="preserve">農學總經銷, ;城邦文化發行 : ;商周出版 : </t>
  </si>
  <si>
    <t>782.886 8565 2004</t>
  </si>
  <si>
    <t>D0009180</t>
  </si>
  <si>
    <t>郝明義作</t>
  </si>
  <si>
    <t>網路與書出版,</t>
  </si>
  <si>
    <t>415.18 8552 2006</t>
  </si>
  <si>
    <t>D0009182</t>
  </si>
  <si>
    <t xml:space="preserve">夏學曼 </t>
  </si>
  <si>
    <t>855 8768 2006</t>
  </si>
  <si>
    <t>D0009183</t>
  </si>
  <si>
    <t xml:space="preserve">馬雨沛著 </t>
  </si>
  <si>
    <t>417.8 8334 2006</t>
  </si>
  <si>
    <t>D0009218</t>
  </si>
  <si>
    <t xml:space="preserve">周國平 </t>
  </si>
  <si>
    <t>855 8655 2005</t>
  </si>
  <si>
    <t>D0009219</t>
  </si>
  <si>
    <t xml:space="preserve">木藤潮香著 </t>
  </si>
  <si>
    <t>高寶國際,</t>
  </si>
  <si>
    <t>861.6 8744-2 2006</t>
  </si>
  <si>
    <t>D0009228</t>
  </si>
  <si>
    <t xml:space="preserve">鄧相揚著 </t>
  </si>
  <si>
    <t>晨星出版,</t>
  </si>
  <si>
    <t>249.9474 8564 1998</t>
  </si>
  <si>
    <t>D0009388</t>
  </si>
  <si>
    <t xml:space="preserve">康薇爾(Cornwell, Patricia Daniels, 1956-) </t>
  </si>
  <si>
    <t>臉譜出版,</t>
  </si>
  <si>
    <t>874.57 8683 2001</t>
  </si>
  <si>
    <t>D0009431</t>
  </si>
  <si>
    <t xml:space="preserve">石世明作 </t>
  </si>
  <si>
    <t>548.2 8455 2001</t>
  </si>
  <si>
    <t>D0009463</t>
  </si>
  <si>
    <t>419.1 8434 1989</t>
  </si>
  <si>
    <t>1989</t>
  </si>
  <si>
    <t>D0009464</t>
  </si>
  <si>
    <t xml:space="preserve">登蘊雅 </t>
  </si>
  <si>
    <t>文房文化出版,</t>
  </si>
  <si>
    <t>415.9468 8454 2006</t>
  </si>
  <si>
    <t>D0009596</t>
  </si>
  <si>
    <t xml:space="preserve">夏特雷(Chatelet, Noelle) </t>
  </si>
  <si>
    <t>876.57 8754 2006</t>
  </si>
  <si>
    <t>D0009641</t>
  </si>
  <si>
    <t>宋芳綺著</t>
  </si>
  <si>
    <t xml:space="preserve">天下文化, </t>
  </si>
  <si>
    <t>782.886 8424 2006</t>
  </si>
  <si>
    <t>D0009665</t>
  </si>
  <si>
    <t>盧忻謐主編;陳怡霈主編;蔡篤堅主編</t>
  </si>
  <si>
    <t xml:space="preserve">衛生署, </t>
  </si>
  <si>
    <t>578.23591 8563 2007</t>
  </si>
  <si>
    <t>D0009703</t>
  </si>
  <si>
    <t>410.7 8448 2002 c.2</t>
  </si>
  <si>
    <t>D0009704</t>
  </si>
  <si>
    <t xml:space="preserve">歐凱利(O'Kelly, Eugene) </t>
  </si>
  <si>
    <t>415.92 8757 2006</t>
  </si>
  <si>
    <t>D0009705</t>
  </si>
  <si>
    <t xml:space="preserve">葛文德(Gawande, Atul, 1965-) </t>
  </si>
  <si>
    <t>415.2 8665 2007</t>
  </si>
  <si>
    <t>D0009706</t>
  </si>
  <si>
    <t xml:space="preserve">柯林斯(Collins, Michale J.) </t>
  </si>
  <si>
    <t>419.952 8575 2006</t>
  </si>
  <si>
    <t>D0009707</t>
  </si>
  <si>
    <t>783.3886 8733 2007 c.2</t>
  </si>
  <si>
    <t>D0009708</t>
  </si>
  <si>
    <t>415.18 8476 2006 c.2</t>
  </si>
  <si>
    <t>D0009709</t>
  </si>
  <si>
    <t>419.952 8555 2002 c.2</t>
  </si>
  <si>
    <t>D0009710</t>
  </si>
  <si>
    <t>410.16 8334 2006</t>
  </si>
  <si>
    <t>D0009769</t>
  </si>
  <si>
    <t>天下雜誌</t>
  </si>
  <si>
    <t>417.531 8776 2006</t>
  </si>
  <si>
    <t>D0009799</t>
  </si>
  <si>
    <t>417.8 8546-2 2003 c.2</t>
  </si>
  <si>
    <t>D0009800</t>
  </si>
  <si>
    <t xml:space="preserve">陳清芳 </t>
  </si>
  <si>
    <t>415 8737 2002</t>
  </si>
  <si>
    <t>D0009803</t>
  </si>
  <si>
    <t xml:space="preserve">小志志(醫學, 1978-) </t>
  </si>
  <si>
    <t>855 8433 2007</t>
  </si>
  <si>
    <t>D0009810</t>
  </si>
  <si>
    <t>允晨文化</t>
  </si>
  <si>
    <t>415.2 8655 1999</t>
  </si>
  <si>
    <t>D0009811</t>
  </si>
  <si>
    <t xml:space="preserve">普瑞斯頓(Preston, Thomas A.) </t>
  </si>
  <si>
    <t>548.2 8355 2001</t>
  </si>
  <si>
    <t>D0009815</t>
  </si>
  <si>
    <t xml:space="preserve">許添盛 </t>
  </si>
  <si>
    <t>415 8424 2005</t>
  </si>
  <si>
    <t>D0009825</t>
  </si>
  <si>
    <t xml:space="preserve">威爾伯(Wilber, Ken) </t>
  </si>
  <si>
    <t>417.8 8336 1998</t>
  </si>
  <si>
    <t>D0009835</t>
  </si>
  <si>
    <t xml:space="preserve">鄭明淑口述 </t>
  </si>
  <si>
    <t>859.7 8456 2006</t>
  </si>
  <si>
    <t>D0009903</t>
  </si>
  <si>
    <t xml:space="preserve">陳美羿著 </t>
  </si>
  <si>
    <t>聯合文學,</t>
  </si>
  <si>
    <t>855 8765-2 2005</t>
  </si>
  <si>
    <t>D0009904</t>
  </si>
  <si>
    <t xml:space="preserve">謝淑惠(中國文學) </t>
  </si>
  <si>
    <t>782.886 8938 2005</t>
  </si>
  <si>
    <t>D0009922</t>
  </si>
  <si>
    <t>861.57 8663 2006</t>
  </si>
  <si>
    <t>D0009993</t>
  </si>
  <si>
    <t>859.8 8676 1997</t>
  </si>
  <si>
    <t>D0010002</t>
  </si>
  <si>
    <t xml:space="preserve">艾爾邦(Albom, Mitch, 1958-) </t>
  </si>
  <si>
    <t xml:space="preserve">大和書報總經銷, ;大塊文化出版 ; </t>
  </si>
  <si>
    <t>874.57 8837 2004</t>
  </si>
  <si>
    <t>D0010005</t>
  </si>
  <si>
    <t>410.7 8448-2 2004 c.2</t>
  </si>
  <si>
    <t>D0010022</t>
  </si>
  <si>
    <t xml:space="preserve">大原健士郎 </t>
  </si>
  <si>
    <t>水瓶世紀文化出版,</t>
  </si>
  <si>
    <t>176.55 8739 1998</t>
  </si>
  <si>
    <t>D0010029</t>
  </si>
  <si>
    <t xml:space="preserve">徐小訊(中國文學, 1983-) </t>
  </si>
  <si>
    <t>方塊出版,</t>
  </si>
  <si>
    <t>417.8 8542 2007</t>
  </si>
  <si>
    <t>D0010032</t>
  </si>
  <si>
    <t>412.6 8578 1994</t>
  </si>
  <si>
    <t>D0010036</t>
  </si>
  <si>
    <t>朱萬花著</t>
  </si>
  <si>
    <t>782.886 8946 2001</t>
  </si>
  <si>
    <t>D0010042</t>
  </si>
  <si>
    <t xml:space="preserve">鮑比(Bauby, Jean-Dominique, 1952-1997) </t>
  </si>
  <si>
    <t>876.6 875 2006</t>
  </si>
  <si>
    <t>D0010125</t>
  </si>
  <si>
    <t xml:space="preserve">葛林(Greene, Melissa Fay) </t>
  </si>
  <si>
    <t>415.6 867 2007</t>
  </si>
  <si>
    <t>D0010181</t>
  </si>
  <si>
    <t xml:space="preserve">韓密爾頓(Hamilton, Bethany)著 </t>
  </si>
  <si>
    <t>高寶,</t>
  </si>
  <si>
    <t>785.28 8633 2006</t>
  </si>
  <si>
    <t>D0010205</t>
  </si>
  <si>
    <t>江漢聲著</t>
  </si>
  <si>
    <t>410.7 8365 2006</t>
  </si>
  <si>
    <t>D0010206</t>
  </si>
  <si>
    <t>布雷希(Blech, Jorg)著</t>
  </si>
  <si>
    <t xml:space="preserve">左岸文化, </t>
  </si>
  <si>
    <t>411.1 8544 2007</t>
  </si>
  <si>
    <t>D0010212</t>
  </si>
  <si>
    <t xml:space="preserve">謝豐舟 </t>
  </si>
  <si>
    <t>大樹林出版,</t>
  </si>
  <si>
    <t>410.7 8255 2006</t>
  </si>
  <si>
    <t>D0010213</t>
  </si>
  <si>
    <t xml:space="preserve">宋瑞樓 </t>
  </si>
  <si>
    <t>415 8654 2005</t>
  </si>
  <si>
    <t>D0010220</t>
  </si>
  <si>
    <t xml:space="preserve">于劍興著 </t>
  </si>
  <si>
    <t>原水,</t>
  </si>
  <si>
    <t>419.9232 8574 2006</t>
  </si>
  <si>
    <t>D0010237</t>
  </si>
  <si>
    <t xml:space="preserve">柏洛斯(Burroughs, Augusten) </t>
  </si>
  <si>
    <t>874.6 8435 2006</t>
  </si>
  <si>
    <t>D0010244</t>
  </si>
  <si>
    <t xml:space="preserve">莫尼漢(Moynihan, Ray) </t>
  </si>
  <si>
    <t>世潮,</t>
  </si>
  <si>
    <t>418.01 8856 2006</t>
  </si>
  <si>
    <t>D0010248</t>
  </si>
  <si>
    <t xml:space="preserve">倫敦(London, Oscar) </t>
  </si>
  <si>
    <t>泰電電業出版,</t>
  </si>
  <si>
    <t>410.7 876 2006</t>
  </si>
  <si>
    <t>D0010249</t>
  </si>
  <si>
    <t>417.8 8767 2007</t>
  </si>
  <si>
    <t>D0010250</t>
  </si>
  <si>
    <t>王滿堂作</t>
  </si>
  <si>
    <t>海鴿文化出版,</t>
  </si>
  <si>
    <t>782.886 8465 2006</t>
  </si>
  <si>
    <t>D0010251</t>
  </si>
  <si>
    <t>巴萊塔(Barlett, Donald L.)</t>
  </si>
  <si>
    <t>419.352 8585 2007</t>
  </si>
  <si>
    <t>D0010271</t>
  </si>
  <si>
    <t>415.2 8665 2007 c.2</t>
  </si>
  <si>
    <t>D0010288</t>
  </si>
  <si>
    <t xml:space="preserve">趙可式 </t>
  </si>
  <si>
    <t>光啟,</t>
  </si>
  <si>
    <t>548.2 8453 1999</t>
  </si>
  <si>
    <t>D0010290</t>
  </si>
  <si>
    <t xml:space="preserve">卡塞爾(Cassell, Joan) </t>
  </si>
  <si>
    <t>416.34 8433 2007</t>
  </si>
  <si>
    <t>D0010293</t>
  </si>
  <si>
    <t xml:space="preserve">安吉爾(Angell, Marcia)著 </t>
  </si>
  <si>
    <t>418.01 8493 2006</t>
  </si>
  <si>
    <t>D0010294</t>
  </si>
  <si>
    <t xml:space="preserve">布雷希(Blech, Jorg) </t>
  </si>
  <si>
    <t>左岸文化出版,</t>
  </si>
  <si>
    <t>410.16 8547 2006</t>
  </si>
  <si>
    <t>D0010299</t>
  </si>
  <si>
    <t xml:space="preserve">加里森(Garrison, Julia Fox) </t>
  </si>
  <si>
    <t>大可發行,</t>
  </si>
  <si>
    <t>415.922 8455 2007</t>
  </si>
  <si>
    <t>D0010301</t>
  </si>
  <si>
    <t xml:space="preserve">山姆斯(Shames, Laurence) </t>
  </si>
  <si>
    <t>191.952 8643 2007</t>
  </si>
  <si>
    <t>D0010302</t>
  </si>
  <si>
    <t xml:space="preserve">梁妃儀(美術) ;蔡篤堅(衛生學) ;陳怡霈(衛生學) </t>
  </si>
  <si>
    <t>415.251 8675 2008</t>
  </si>
  <si>
    <t>D0010314</t>
  </si>
  <si>
    <t>趙可式著</t>
  </si>
  <si>
    <t>191.9 8453 2007</t>
  </si>
  <si>
    <t>D0010316</t>
  </si>
  <si>
    <t>趙可式</t>
  </si>
  <si>
    <t>419.825 8453 2007</t>
  </si>
  <si>
    <t>D0010370</t>
  </si>
  <si>
    <t>419.952 8575 2006 c.2</t>
  </si>
  <si>
    <t>D0010371</t>
  </si>
  <si>
    <t xml:space="preserve">蔡篤堅編著 </t>
  </si>
  <si>
    <t>記憶工程,唐山,</t>
  </si>
  <si>
    <t>410.16 8454 2007</t>
  </si>
  <si>
    <t>D0010372</t>
  </si>
  <si>
    <t xml:space="preserve">慈濟骨髓幹細胞中心 </t>
  </si>
  <si>
    <t>415.6 8245 2006</t>
  </si>
  <si>
    <t>D0010391</t>
  </si>
  <si>
    <t xml:space="preserve">吳志正著. </t>
  </si>
  <si>
    <t>元照,</t>
  </si>
  <si>
    <t>419.47 8834 2006 V.2</t>
  </si>
  <si>
    <t>D0010413</t>
  </si>
  <si>
    <t xml:space="preserve">德田虎雄 </t>
  </si>
  <si>
    <t>419.2 8555 2005</t>
  </si>
  <si>
    <t>D0010414</t>
  </si>
  <si>
    <t>柯志明</t>
  </si>
  <si>
    <t xml:space="preserve">基督路加傳道會, </t>
  </si>
  <si>
    <t>544.48 8455 2008</t>
  </si>
  <si>
    <t>D0010480</t>
  </si>
  <si>
    <t>419.47 8834 2006 V.1</t>
  </si>
  <si>
    <t>D0010646</t>
  </si>
  <si>
    <t>邱玉珍(社會學)採訪</t>
  </si>
  <si>
    <t>原水文化,</t>
  </si>
  <si>
    <t>415.95 8736 2007</t>
  </si>
  <si>
    <t>D0010648</t>
  </si>
  <si>
    <t xml:space="preserve">亞隆(Yalom, Irvin D.)著 </t>
  </si>
  <si>
    <t>874.57 844:2 2000</t>
  </si>
  <si>
    <t>D0010649</t>
  </si>
  <si>
    <t>419.825 8672-3 2007</t>
  </si>
  <si>
    <t>D0010650</t>
  </si>
  <si>
    <t xml:space="preserve">阿傑特(醫學) </t>
  </si>
  <si>
    <t>417.8 8595 2007</t>
  </si>
  <si>
    <t>D0010651</t>
  </si>
  <si>
    <t>胡勝川著</t>
  </si>
  <si>
    <t>415.22 8486-2 2007</t>
  </si>
  <si>
    <t>D0010652</t>
  </si>
  <si>
    <t xml:space="preserve">卡爾(Karl, Richard C., 1945-) </t>
  </si>
  <si>
    <t>874.6 843 2006</t>
  </si>
  <si>
    <t>D0010654</t>
  </si>
  <si>
    <t>415.21 8448 2007</t>
  </si>
  <si>
    <t>D0010655</t>
  </si>
  <si>
    <t xml:space="preserve">謝元凱(廣播電視) </t>
  </si>
  <si>
    <t>天下遠見, 靜思文化出版,</t>
  </si>
  <si>
    <t>419.2 8255 2008</t>
  </si>
  <si>
    <t>D0010747</t>
  </si>
  <si>
    <t>192.107 8424 2006</t>
  </si>
  <si>
    <t>D0010774</t>
  </si>
  <si>
    <t>歐爾(Orr, Robert D.)</t>
  </si>
  <si>
    <t xml:space="preserve">基督路加傳道會出版社, </t>
  </si>
  <si>
    <t>410.16 8735 2006</t>
  </si>
  <si>
    <t>D0010785</t>
  </si>
  <si>
    <t xml:space="preserve">李敏榕(護理學)編輯;黃美玲(護理學) </t>
  </si>
  <si>
    <t>臺灣護理學會,</t>
  </si>
  <si>
    <t>855 8236 2008</t>
  </si>
  <si>
    <t>D0010808</t>
  </si>
  <si>
    <t>394 8765 2001</t>
  </si>
  <si>
    <t>D0010854</t>
  </si>
  <si>
    <t>陳卉怡</t>
  </si>
  <si>
    <t>台中市開懷協會,</t>
  </si>
  <si>
    <t>417.8 8753:2 2007</t>
  </si>
  <si>
    <t>D0010925</t>
  </si>
  <si>
    <t xml:space="preserve">李豐 </t>
  </si>
  <si>
    <t>玉山社出版事業公司出版,</t>
  </si>
  <si>
    <t>415.71 845 2002</t>
  </si>
  <si>
    <t>D0010931</t>
  </si>
  <si>
    <t xml:space="preserve">吳錦珠 </t>
  </si>
  <si>
    <t>417.8 8877 2006</t>
  </si>
  <si>
    <t>D0010932</t>
  </si>
  <si>
    <t xml:space="preserve">曹又方著 </t>
  </si>
  <si>
    <t>417.8 8475 2004</t>
  </si>
  <si>
    <t>D0010998</t>
  </si>
  <si>
    <t>415.223 8223 2008</t>
  </si>
  <si>
    <t>D0011020</t>
  </si>
  <si>
    <t xml:space="preserve">莊淑妙(成人及繼續教育, 1954-) </t>
  </si>
  <si>
    <t>慈濟人文志業中心中文期刊部,</t>
  </si>
  <si>
    <t>859.7 8568 2008</t>
  </si>
  <si>
    <t>D0011028</t>
  </si>
  <si>
    <t>191.9 8587 2006</t>
  </si>
  <si>
    <t>D0011029</t>
  </si>
  <si>
    <t xml:space="preserve">培理(Perry, Bruce Duncan 1955-) </t>
  </si>
  <si>
    <t>415.95 8566 2007</t>
  </si>
  <si>
    <t>D0011031</t>
  </si>
  <si>
    <t xml:space="preserve">慈濟基金會, </t>
  </si>
  <si>
    <t>419.333 8574-2 2008</t>
  </si>
  <si>
    <t>D0011058</t>
  </si>
  <si>
    <t>天主教聖功醫院</t>
  </si>
  <si>
    <t>419.333 8737 2008</t>
  </si>
  <si>
    <t>D0011060</t>
  </si>
  <si>
    <t>佛教慈濟慈善事業基金會</t>
  </si>
  <si>
    <t>419.333 8534 1991</t>
  </si>
  <si>
    <t>D0011081</t>
  </si>
  <si>
    <t>410.26 8566 2007</t>
  </si>
  <si>
    <t>D0011082</t>
  </si>
  <si>
    <t xml:space="preserve">余德慧 </t>
  </si>
  <si>
    <t>191.9 855 2004</t>
  </si>
  <si>
    <t>D0011098</t>
  </si>
  <si>
    <t xml:space="preserve">馬茲爾(Mazur, Dennis John) </t>
  </si>
  <si>
    <t>419.1 8343 2006</t>
  </si>
  <si>
    <t>D0011107</t>
  </si>
  <si>
    <t xml:space="preserve">謳歌(醫學) </t>
  </si>
  <si>
    <t>文光,</t>
  </si>
  <si>
    <t>410.7 837 2007</t>
  </si>
  <si>
    <t>D0011201</t>
  </si>
  <si>
    <t xml:space="preserve">譚石 </t>
  </si>
  <si>
    <t>410.68 8433 2000</t>
  </si>
  <si>
    <t>D0011222</t>
  </si>
  <si>
    <t xml:space="preserve">慈濟醫療團隊 </t>
  </si>
  <si>
    <t>414.8 8370 2006</t>
  </si>
  <si>
    <t>D0011231</t>
  </si>
  <si>
    <t>釋聖嚴1930-等合著 ,</t>
  </si>
  <si>
    <t>法鼓文化,</t>
  </si>
  <si>
    <t>225.4 8748-3 2007</t>
  </si>
  <si>
    <t>D0011233</t>
  </si>
  <si>
    <t>徐南麗</t>
  </si>
  <si>
    <t>782.887 8555 2008</t>
  </si>
  <si>
    <t>D0011238</t>
  </si>
  <si>
    <t xml:space="preserve">布雷納(Brenner, Paul, 1933-) </t>
  </si>
  <si>
    <t>商智文化出版,</t>
  </si>
  <si>
    <t>419.952 8545 2003</t>
  </si>
  <si>
    <t>D0011243</t>
  </si>
  <si>
    <t>健行文化,</t>
  </si>
  <si>
    <t>078 8368 2002</t>
  </si>
  <si>
    <t>D0011245</t>
  </si>
  <si>
    <t xml:space="preserve">庫勒魯蕬(Kubler-Ross, Elisabeth) </t>
  </si>
  <si>
    <t>191.9 8466 2007</t>
  </si>
  <si>
    <t>D0011246</t>
  </si>
  <si>
    <t>197 843 2008</t>
  </si>
  <si>
    <t>D0011251</t>
  </si>
  <si>
    <t xml:space="preserve">曼坦(Menten, Ted.) </t>
  </si>
  <si>
    <t>176.5 884 2004</t>
  </si>
  <si>
    <t>D0011271</t>
  </si>
  <si>
    <t xml:space="preserve">張文亮(工程) </t>
  </si>
  <si>
    <t>419.9232 845 2005</t>
  </si>
  <si>
    <t>D0011290</t>
  </si>
  <si>
    <t xml:space="preserve">高銘君(文學) </t>
  </si>
  <si>
    <t>415.925 8364 2007</t>
  </si>
  <si>
    <t>D0011313</t>
  </si>
  <si>
    <t>黃崑巖著</t>
  </si>
  <si>
    <t xml:space="preserve">健行文化出版 : ;九歌總經銷, </t>
  </si>
  <si>
    <t>410.7 8368-2 2004</t>
  </si>
  <si>
    <t>D0011319</t>
  </si>
  <si>
    <t xml:space="preserve">胡志強(政治) </t>
  </si>
  <si>
    <t>848.7 8433 2007</t>
  </si>
  <si>
    <t>D0011320</t>
  </si>
  <si>
    <t xml:space="preserve">拉森(Larsen, Judy Merrill) </t>
  </si>
  <si>
    <t>874.57 8246 2008</t>
  </si>
  <si>
    <t>D0011355</t>
  </si>
  <si>
    <t>783.388 8368 2008</t>
  </si>
  <si>
    <t>D0011356</t>
  </si>
  <si>
    <t xml:space="preserve">徐琰(中國文學) </t>
  </si>
  <si>
    <t>驛站文化,</t>
  </si>
  <si>
    <t>419.941 897 2007</t>
  </si>
  <si>
    <t>D0011378</t>
  </si>
  <si>
    <t xml:space="preserve">周希誠著 </t>
  </si>
  <si>
    <t>419.825 8672-4 2008</t>
  </si>
  <si>
    <t>D0011390</t>
  </si>
  <si>
    <t xml:space="preserve">黃玉春 </t>
  </si>
  <si>
    <t>中華小腦萎縮症病友協會,</t>
  </si>
  <si>
    <t>415.18 8334 2006</t>
  </si>
  <si>
    <t>D0011391</t>
  </si>
  <si>
    <t xml:space="preserve">劉昭仁 </t>
  </si>
  <si>
    <t>419.9232 8756 2005</t>
  </si>
  <si>
    <t>D0011426</t>
  </si>
  <si>
    <t>410.68 8433 2000 c.2</t>
  </si>
  <si>
    <t>D0011428</t>
  </si>
  <si>
    <t xml:space="preserve">喬布拉(Chopra, Deepak) </t>
  </si>
  <si>
    <t>361.5 8465 2007</t>
  </si>
  <si>
    <t>D0011430</t>
  </si>
  <si>
    <t xml:space="preserve">傅大為作 </t>
  </si>
  <si>
    <t>群學,</t>
  </si>
  <si>
    <t>410.92 8572 2005</t>
  </si>
  <si>
    <t>D0011431</t>
  </si>
  <si>
    <t xml:space="preserve">莊永明著 </t>
  </si>
  <si>
    <t>782.886 8549 2005</t>
  </si>
  <si>
    <t>D0011432</t>
  </si>
  <si>
    <t xml:space="preserve">吳佳璇(醫學, 1969-) </t>
  </si>
  <si>
    <t>782.886 8766 2007</t>
  </si>
  <si>
    <t>D0011434</t>
  </si>
  <si>
    <t>謝博生著</t>
  </si>
  <si>
    <t xml:space="preserve">金名總經銷, ;臺大醫學院出版 : </t>
  </si>
  <si>
    <t>410.3 8237 2008</t>
  </si>
  <si>
    <t>D0011442</t>
  </si>
  <si>
    <t>帕許(Pausch, Randy)</t>
  </si>
  <si>
    <t xml:space="preserve">方智, </t>
  </si>
  <si>
    <t>785.28 874 2008</t>
  </si>
  <si>
    <t>D0011452</t>
  </si>
  <si>
    <t>米勒(Miller, G. Wayne)著</t>
  </si>
  <si>
    <t>419.952 8556 2005</t>
  </si>
  <si>
    <t>D0011463</t>
  </si>
  <si>
    <t xml:space="preserve">黃桂瑛(電信, 1952-) </t>
  </si>
  <si>
    <t>INK印刻出版,</t>
  </si>
  <si>
    <t>782.886 8347 2007</t>
  </si>
  <si>
    <t>D0011606</t>
  </si>
  <si>
    <t>王本榮</t>
  </si>
  <si>
    <t xml:space="preserve">INK印刻文學, </t>
  </si>
  <si>
    <t>221.54 8446 2009</t>
  </si>
  <si>
    <t>D0011629</t>
  </si>
  <si>
    <t>貝爾金(Belkin,Lisa)著</t>
  </si>
  <si>
    <t>410.16 8436 2007</t>
  </si>
  <si>
    <t>D0011705</t>
  </si>
  <si>
    <t>大塊文化,</t>
  </si>
  <si>
    <t>175.8 8626 2012</t>
  </si>
  <si>
    <t>2012</t>
  </si>
  <si>
    <t>D0011745</t>
  </si>
  <si>
    <t xml:space="preserve">李玟萱(中國文學) </t>
  </si>
  <si>
    <t>855 8475 2008</t>
  </si>
  <si>
    <t>D0011958</t>
  </si>
  <si>
    <t xml:space="preserve">蕭索瓦(Chaussoy, Frederic, 1953-) </t>
  </si>
  <si>
    <t>先覺出版,</t>
  </si>
  <si>
    <t>410.16 8633 2006</t>
  </si>
  <si>
    <t>D0011972</t>
  </si>
  <si>
    <t xml:space="preserve">翰彌頓(Hamilton, Allan J.) </t>
  </si>
  <si>
    <t>橡樹林文化,</t>
  </si>
  <si>
    <t>416.29 8253 2009</t>
  </si>
  <si>
    <t>D0011973</t>
  </si>
  <si>
    <t xml:space="preserve">Pories,Susan,1953- ;何敏綺(英語, 1971-) ;波芮絲(Pories, Susan, 1953-) </t>
  </si>
  <si>
    <t>健行文化出版,</t>
  </si>
  <si>
    <t>410.3 8797 2008</t>
  </si>
  <si>
    <t>D0011974</t>
  </si>
  <si>
    <t>410.3 8566 2009</t>
  </si>
  <si>
    <t>D0011975</t>
  </si>
  <si>
    <t>417.8 8753 2008</t>
  </si>
  <si>
    <t>D0011995</t>
  </si>
  <si>
    <t>侯文詠作</t>
  </si>
  <si>
    <t>857.63 8966 1993</t>
  </si>
  <si>
    <t>D0012002</t>
  </si>
  <si>
    <t>785.28 874 2008 c.2</t>
  </si>
  <si>
    <t>D0012007</t>
  </si>
  <si>
    <t>410.3 8566 2009 c.2</t>
  </si>
  <si>
    <t>D0012018</t>
  </si>
  <si>
    <t>910.14 8556 2008 c.2</t>
  </si>
  <si>
    <t>D0012040</t>
  </si>
  <si>
    <t xml:space="preserve">本多孝好 </t>
  </si>
  <si>
    <t>861.57 8452 2008</t>
  </si>
  <si>
    <t>D0012074</t>
  </si>
  <si>
    <t>蘇絢慧著</t>
  </si>
  <si>
    <t>178.8 8863 2009</t>
  </si>
  <si>
    <t>D0012119</t>
  </si>
  <si>
    <t>783.31 8746 2008</t>
  </si>
  <si>
    <t>D0012121</t>
  </si>
  <si>
    <t>910.9952 8637 2009 c.2</t>
  </si>
  <si>
    <t>D0012122</t>
  </si>
  <si>
    <t>412.099 8547 2002 c.2</t>
  </si>
  <si>
    <t>D0012145</t>
  </si>
  <si>
    <t>努蘭(Nuland, Sherwin B.)作</t>
  </si>
  <si>
    <t xml:space="preserve">時報文化, </t>
  </si>
  <si>
    <t>410.7 8523 2009</t>
  </si>
  <si>
    <t>D0012224</t>
  </si>
  <si>
    <t>康泰醫療教育基金會</t>
  </si>
  <si>
    <t>191.9 8766 2010</t>
  </si>
  <si>
    <t>D0012255</t>
  </si>
  <si>
    <t>多薩David Dosa</t>
  </si>
  <si>
    <t>419.825 855 2009</t>
  </si>
  <si>
    <t>D0012265</t>
  </si>
  <si>
    <t xml:space="preserve">謝其濬文 </t>
  </si>
  <si>
    <t>855 8233 2004</t>
  </si>
  <si>
    <t>D0012266</t>
  </si>
  <si>
    <t xml:space="preserve">派普爾(Piper, Don)著 </t>
  </si>
  <si>
    <t>究竟出版,</t>
  </si>
  <si>
    <t>242.7 863 2007</t>
  </si>
  <si>
    <t>D0012273</t>
  </si>
  <si>
    <t xml:space="preserve">史懷哲(Schweitzer, Albert, 1875-1965)著 </t>
  </si>
  <si>
    <t xml:space="preserve">志文, </t>
  </si>
  <si>
    <t>784.38 8644 1992</t>
  </si>
  <si>
    <t>1992</t>
  </si>
  <si>
    <t>D0012277</t>
  </si>
  <si>
    <t>臺灣兒科醫學會</t>
  </si>
  <si>
    <t>417.5 8447 2010</t>
  </si>
  <si>
    <t>D0012302</t>
  </si>
  <si>
    <t>419.952 855 1998 c.2</t>
  </si>
  <si>
    <t>D0012313</t>
  </si>
  <si>
    <t>林育靖著</t>
  </si>
  <si>
    <t xml:space="preserve">九歌, </t>
  </si>
  <si>
    <t>410.7 8743:4 2010</t>
  </si>
  <si>
    <t>D0012314</t>
  </si>
  <si>
    <t xml:space="preserve">林禎 </t>
  </si>
  <si>
    <t>望春風文化,</t>
  </si>
  <si>
    <t>410.1619 8762 2010</t>
  </si>
  <si>
    <t>D0012322</t>
  </si>
  <si>
    <t>慈濟骨髓幹細胞中心企劃</t>
  </si>
  <si>
    <t xml:space="preserve">靜思人文出版 : ;健行文化發行, </t>
  </si>
  <si>
    <t>415.654 8235 2010</t>
  </si>
  <si>
    <t>D0012335</t>
  </si>
  <si>
    <t>419.825 8863 2001 c.2</t>
  </si>
  <si>
    <t>D0012338</t>
  </si>
  <si>
    <t>191.9 8475 2006 c.2</t>
  </si>
  <si>
    <t>D0012375</t>
  </si>
  <si>
    <t>857.7 8966 1999 c.2</t>
  </si>
  <si>
    <t>D0012376</t>
  </si>
  <si>
    <t>410.7 8334 2000 c.2</t>
  </si>
  <si>
    <t>D0012379</t>
  </si>
  <si>
    <t>178.8 8863 2009 c.2</t>
  </si>
  <si>
    <t>D0012434</t>
  </si>
  <si>
    <t>861.679 8365 2009 c.2</t>
  </si>
  <si>
    <t>D0012435</t>
  </si>
  <si>
    <t>861.679 8365 2009 v.2</t>
  </si>
  <si>
    <t>D0012444</t>
  </si>
  <si>
    <t>410.7 8455 2002 c.2</t>
  </si>
  <si>
    <t>D0012449</t>
  </si>
  <si>
    <t xml:space="preserve">史蒂芬生(Stephenson, Sean) </t>
  </si>
  <si>
    <t>177.2 8675 2009</t>
  </si>
  <si>
    <t>D0012455</t>
  </si>
  <si>
    <t xml:space="preserve">席格勒(Sigler, Scott) </t>
  </si>
  <si>
    <t>874.57 8424 2009</t>
  </si>
  <si>
    <t>D0012465</t>
  </si>
  <si>
    <t>419.945 8755 2004 c.2</t>
  </si>
  <si>
    <t>D0012473</t>
  </si>
  <si>
    <t xml:space="preserve">黃勝堅 </t>
  </si>
  <si>
    <t>419.82 8384 2010</t>
  </si>
  <si>
    <t>D0012538</t>
  </si>
  <si>
    <t xml:space="preserve">詹姆斯(James, P. D.) </t>
  </si>
  <si>
    <t>873.57 8655 2008</t>
  </si>
  <si>
    <t>D0012539</t>
  </si>
  <si>
    <t xml:space="preserve">薛利丹(Sheridan, James, 1970-) </t>
  </si>
  <si>
    <t>874.57 8676 2009</t>
  </si>
  <si>
    <t>D0012540</t>
  </si>
  <si>
    <t xml:space="preserve">帕默(Palmer, Michael, 1942-) </t>
  </si>
  <si>
    <t>874.57 854 2009</t>
  </si>
  <si>
    <t>D0012541</t>
  </si>
  <si>
    <t>876.6 8754 2009</t>
  </si>
  <si>
    <t>D0012583</t>
  </si>
  <si>
    <t xml:space="preserve">林進修 </t>
  </si>
  <si>
    <t>548.21 8798 2011</t>
  </si>
  <si>
    <t>D0012584</t>
  </si>
  <si>
    <t>INK印刻文學,</t>
  </si>
  <si>
    <t>419.82507 852 2010</t>
  </si>
  <si>
    <t>D0012585</t>
  </si>
  <si>
    <t xml:space="preserve">陳維恭著 </t>
  </si>
  <si>
    <t>天下雜誌,</t>
  </si>
  <si>
    <t>410.1619 8763 2009</t>
  </si>
  <si>
    <t>D0012587</t>
  </si>
  <si>
    <t>黃秀花等撰文</t>
  </si>
  <si>
    <t xml:space="preserve">慈濟, </t>
  </si>
  <si>
    <t>419.327 8366 2011</t>
  </si>
  <si>
    <t>D0012640</t>
  </si>
  <si>
    <t xml:space="preserve">席珀(Schipper, D?rte, 1960-) </t>
  </si>
  <si>
    <t>875.6 844 2011</t>
  </si>
  <si>
    <t>D0012641</t>
  </si>
  <si>
    <t xml:space="preserve">艾德羅(Edlow, Jonathan A.) </t>
  </si>
  <si>
    <t>生命潛能文化,</t>
  </si>
  <si>
    <t>874.57 8855 2011</t>
  </si>
  <si>
    <t>D0012642</t>
  </si>
  <si>
    <t xml:space="preserve">曹中瑋著 </t>
  </si>
  <si>
    <t>178.8 8465 2009</t>
  </si>
  <si>
    <t>身心醫學科</t>
  </si>
  <si>
    <t>D0012761</t>
  </si>
  <si>
    <t>881.657 877-2 2009</t>
  </si>
  <si>
    <t>D0012762</t>
  </si>
  <si>
    <t xml:space="preserve">許以霖著 </t>
  </si>
  <si>
    <t>548.31 8447 2011</t>
  </si>
  <si>
    <t>D0012763</t>
  </si>
  <si>
    <t>王雅慧</t>
  </si>
  <si>
    <t xml:space="preserve">臺北醫學大學, </t>
  </si>
  <si>
    <t>419.47 8443 2012</t>
  </si>
  <si>
    <t>D0012776</t>
  </si>
  <si>
    <t xml:space="preserve">史克魯特(Skloot, Rebecca) </t>
  </si>
  <si>
    <t>417.8 8856 2011</t>
  </si>
  <si>
    <t>D0012777</t>
  </si>
  <si>
    <t xml:space="preserve">瑞斯維格(Reiswig, Gray) </t>
  </si>
  <si>
    <t>遠流出版社,</t>
  </si>
  <si>
    <t>415.934 8556 2011</t>
  </si>
  <si>
    <t>D0012898</t>
  </si>
  <si>
    <t xml:space="preserve">史密特(Schmitt, Eric-Emmanuel) </t>
  </si>
  <si>
    <t>876.6 8845 2004</t>
  </si>
  <si>
    <t>D0012899</t>
  </si>
  <si>
    <t xml:space="preserve">蔡合城口述 </t>
  </si>
  <si>
    <t>415.645 8463 2012</t>
  </si>
  <si>
    <t>D0012991</t>
  </si>
  <si>
    <t xml:space="preserve">邱泰源著 </t>
  </si>
  <si>
    <t>419.825 8732 2011</t>
  </si>
  <si>
    <t>D0012992</t>
  </si>
  <si>
    <t xml:space="preserve">姚建安作 </t>
  </si>
  <si>
    <t>419.825 8573 2012</t>
  </si>
  <si>
    <t>D0012995</t>
  </si>
  <si>
    <t xml:space="preserve">杜明勳著 </t>
  </si>
  <si>
    <t>智庫,</t>
  </si>
  <si>
    <t>419.825 8458 2011</t>
  </si>
  <si>
    <t>D0012996</t>
  </si>
  <si>
    <t xml:space="preserve">凱斯勒(Kessler, David) </t>
  </si>
  <si>
    <t>大寫出版社,</t>
  </si>
  <si>
    <t>175.9 8556 2012</t>
  </si>
  <si>
    <t>D0012997</t>
  </si>
  <si>
    <t>吳寬墩著</t>
  </si>
  <si>
    <t>410.7 8827 2008</t>
  </si>
  <si>
    <t>D0013078</t>
  </si>
  <si>
    <t>李惟陽著</t>
  </si>
  <si>
    <t>419.47 8436 2010</t>
  </si>
  <si>
    <t>D0013079</t>
  </si>
  <si>
    <t xml:space="preserve">賴其萬著 </t>
  </si>
  <si>
    <t>410.7 8334-3 2011</t>
  </si>
  <si>
    <t>D0013080</t>
  </si>
  <si>
    <t xml:space="preserve">貝佐(Bazell, Josh) </t>
  </si>
  <si>
    <t>874.57 846:3 2010</t>
  </si>
  <si>
    <t>D0013081</t>
  </si>
  <si>
    <t>貓頭鷹出版,</t>
  </si>
  <si>
    <t>412.57 8653 2012</t>
  </si>
  <si>
    <t>D0013171</t>
  </si>
  <si>
    <t>劉育志</t>
  </si>
  <si>
    <t xml:space="preserve">臺灣商務, </t>
  </si>
  <si>
    <t>410.7 8743:3 2013</t>
  </si>
  <si>
    <t>2013</t>
  </si>
  <si>
    <t>D0013246</t>
  </si>
  <si>
    <t>傅志遠</t>
  </si>
  <si>
    <t>419.47 8537 2013</t>
  </si>
  <si>
    <t>D0013247</t>
  </si>
  <si>
    <t xml:space="preserve">平野國美著 </t>
  </si>
  <si>
    <t xml:space="preserve">三采文化, </t>
  </si>
  <si>
    <t>419.825 8565 2013</t>
  </si>
  <si>
    <t>D0013248</t>
  </si>
  <si>
    <t>阿布文/攝影</t>
  </si>
  <si>
    <t>855 855 2013</t>
  </si>
  <si>
    <t>D0013249</t>
  </si>
  <si>
    <t xml:space="preserve">張學岑著.攝影 </t>
  </si>
  <si>
    <t xml:space="preserve">紅螞蟻經銷, ;有鹿文化出版 : </t>
  </si>
  <si>
    <t>855 8765:3 2013</t>
  </si>
  <si>
    <t>D0013250</t>
  </si>
  <si>
    <t xml:space="preserve">林峰丕 </t>
  </si>
  <si>
    <t>855 8764:4 2013</t>
  </si>
  <si>
    <t>D0013267</t>
  </si>
  <si>
    <t>俞嫺</t>
  </si>
  <si>
    <t xml:space="preserve">捷徑文化, </t>
  </si>
  <si>
    <t>191.9 876 2013</t>
  </si>
  <si>
    <t xml:space="preserve">學習資源組 </t>
  </si>
  <si>
    <t>D0013268</t>
  </si>
  <si>
    <t xml:space="preserve">邱仁輝作 </t>
  </si>
  <si>
    <t xml:space="preserve">依揚想亮人文, </t>
  </si>
  <si>
    <t>855 8766-2 2013</t>
  </si>
  <si>
    <t>D0013269</t>
  </si>
  <si>
    <t xml:space="preserve">阿布 </t>
  </si>
  <si>
    <t>855 855-2 2013</t>
  </si>
  <si>
    <t>D0013278</t>
  </si>
  <si>
    <t>歐陽林</t>
  </si>
  <si>
    <t xml:space="preserve">麥田出版 : ;城邦文化發行, </t>
  </si>
  <si>
    <t>855 8767:2-4 2004</t>
  </si>
  <si>
    <t>D0013318</t>
  </si>
  <si>
    <t>李彥範著</t>
  </si>
  <si>
    <t xml:space="preserve">經典雜誌 : ;慈濟傳播人文志業基金會, </t>
  </si>
  <si>
    <t>855 8457 2012</t>
  </si>
  <si>
    <t>D0013572</t>
  </si>
  <si>
    <t>麥天心</t>
  </si>
  <si>
    <t>賽斯文化出版 :;吳氏圖書總經銷,</t>
  </si>
  <si>
    <t>544.85 8372 2013</t>
  </si>
  <si>
    <t>D0013573</t>
  </si>
  <si>
    <t xml:space="preserve">褚士瑩著 </t>
  </si>
  <si>
    <t>415.934 8342 2012</t>
  </si>
  <si>
    <t>D0013574</t>
  </si>
  <si>
    <t xml:space="preserve">荒井,和子 </t>
  </si>
  <si>
    <t>新經典圖文傳播出版 :;高寶書版集團總經銷,</t>
  </si>
  <si>
    <t>415.9341 8656 2013</t>
  </si>
  <si>
    <t>D0013575</t>
  </si>
  <si>
    <t>陳秀丹著</t>
  </si>
  <si>
    <t>419.825 8766-2 2014</t>
  </si>
  <si>
    <t>2014</t>
  </si>
  <si>
    <t>D0013599</t>
  </si>
  <si>
    <t xml:space="preserve">皮考特(Picoult, Jodi)1966-著 </t>
  </si>
  <si>
    <t>874.57 8745:2-5 2013</t>
  </si>
  <si>
    <t>D0013600</t>
  </si>
  <si>
    <t xml:space="preserve">柯文哲 </t>
  </si>
  <si>
    <t>410.7 8564:2 2013</t>
  </si>
  <si>
    <t>D0013717</t>
  </si>
  <si>
    <t>陳亮恭</t>
  </si>
  <si>
    <t>410.7 8743:2 2006</t>
  </si>
  <si>
    <t>D0013935</t>
  </si>
  <si>
    <t>419.825 8433 2013</t>
  </si>
  <si>
    <t>D0013936</t>
  </si>
  <si>
    <t>張曉卉著</t>
  </si>
  <si>
    <t>415.9341 8765 2013</t>
  </si>
  <si>
    <t>D0013989</t>
  </si>
  <si>
    <t>阿赫美德(Ahmed, Qanta A.)著</t>
  </si>
  <si>
    <t xml:space="preserve">稻田, </t>
  </si>
  <si>
    <t>410.7 8858 2014</t>
  </si>
  <si>
    <t>D0013990</t>
  </si>
  <si>
    <t>419.47 8537-2 2014</t>
  </si>
  <si>
    <t>D0014020</t>
  </si>
  <si>
    <t>大津秀一著</t>
  </si>
  <si>
    <t xml:space="preserve">大和總經銷, ;遠見天下文化出版 : </t>
  </si>
  <si>
    <t>419.825 8748 2014</t>
  </si>
  <si>
    <t>D0014262</t>
  </si>
  <si>
    <t>王昶閔著</t>
  </si>
  <si>
    <t xml:space="preserve">大和書報圖書總經銷, ;遠見天下文化出版 : </t>
  </si>
  <si>
    <t>410.9933 8437 2014</t>
  </si>
  <si>
    <t>D0014264</t>
  </si>
  <si>
    <t xml:space="preserve">劉盈慧著 </t>
  </si>
  <si>
    <t xml:space="preserve">飛鳥季社, </t>
  </si>
  <si>
    <t>419.825 8763 2014</t>
  </si>
  <si>
    <t>D0014265</t>
  </si>
  <si>
    <t>醫勞盟張志華醫師等28位第一線醫療人員</t>
  </si>
  <si>
    <t>410.7 8455:2 2014</t>
  </si>
  <si>
    <t>D0014271</t>
  </si>
  <si>
    <t>張耀懋著</t>
  </si>
  <si>
    <t>410.7 8753:2 2011</t>
  </si>
  <si>
    <t>D0014406</t>
  </si>
  <si>
    <t>伊佳奇</t>
  </si>
  <si>
    <t>415.934 8865 2014</t>
  </si>
  <si>
    <t>D0014447</t>
  </si>
  <si>
    <t xml:space="preserve">楊育正著 </t>
  </si>
  <si>
    <t xml:space="preserve">大和書報總經銷, ;寶瓶出版 ; </t>
  </si>
  <si>
    <t>417.8 8634 2014</t>
  </si>
  <si>
    <t>D0014448</t>
  </si>
  <si>
    <t>臺灣安寧照顧基金會作</t>
  </si>
  <si>
    <t>419.825 8344 2014</t>
  </si>
  <si>
    <t>D0014449</t>
  </si>
  <si>
    <t>周貞利著</t>
  </si>
  <si>
    <t xml:space="preserve">天下雜誌, </t>
  </si>
  <si>
    <t>415.934 8647 2014</t>
  </si>
  <si>
    <t>D0014474</t>
  </si>
  <si>
    <t>783.3886 8574 2015</t>
  </si>
  <si>
    <t>2015</t>
  </si>
  <si>
    <t>D0014488</t>
  </si>
  <si>
    <t xml:space="preserve">劉育志 </t>
  </si>
  <si>
    <t>活字出版 :;遠足文化事業股份有限公司發行,</t>
  </si>
  <si>
    <t>410.7 8743:3-2 2015</t>
  </si>
  <si>
    <t>D0014490</t>
  </si>
  <si>
    <t xml:space="preserve">波琉(Beaulieu, Baptiste)著 </t>
  </si>
  <si>
    <t xml:space="preserve">遠足發行, ;奇光出版 : </t>
  </si>
  <si>
    <t>876.6 865 2015</t>
  </si>
  <si>
    <t>D0014491</t>
  </si>
  <si>
    <t>周昌德</t>
  </si>
  <si>
    <t xml:space="preserve">易可數位行銷總經銷, ;樂友文化出版 ; </t>
  </si>
  <si>
    <t>415.4682 8655 2014</t>
  </si>
  <si>
    <t>D0014492</t>
  </si>
  <si>
    <t xml:space="preserve">史皮曼(Spielman, Lori Nelson)著 </t>
  </si>
  <si>
    <t xml:space="preserve">悅知文化, </t>
  </si>
  <si>
    <t>874.57 8878 2015</t>
  </si>
  <si>
    <t>D0014493</t>
  </si>
  <si>
    <t xml:space="preserve">潔諾娃(Genova, Lisa)著 </t>
  </si>
  <si>
    <t>874.57 8236:2 2015</t>
  </si>
  <si>
    <t xml:space="preserve">學習資源組  </t>
  </si>
  <si>
    <t>D0014778</t>
  </si>
  <si>
    <t>劉育志著</t>
  </si>
  <si>
    <t xml:space="preserve">凱特文化創意出版 : ;大和經銷, </t>
  </si>
  <si>
    <t>410.7 8743:3-3 2016</t>
  </si>
  <si>
    <t>2016</t>
  </si>
  <si>
    <t>D0014791</t>
  </si>
  <si>
    <t xml:space="preserve">城邦文化發行, ;創意市集出版 : </t>
  </si>
  <si>
    <t>410.3 8446 2015</t>
  </si>
  <si>
    <t>D0014792</t>
  </si>
  <si>
    <t xml:space="preserve">黃勝堅(醫學) </t>
  </si>
  <si>
    <t>大塊文化出版 ;;大和書報總經銷,</t>
  </si>
  <si>
    <t>419.82507 8384 2014</t>
  </si>
  <si>
    <t>D0014793</t>
  </si>
  <si>
    <t>蘇絢慧</t>
  </si>
  <si>
    <t xml:space="preserve">大和書報總經銷, ;寶瓶文化出版 ; </t>
  </si>
  <si>
    <t>178.8 8863-2 2014</t>
  </si>
  <si>
    <t>D0014794</t>
  </si>
  <si>
    <t xml:space="preserve">劉育志著 </t>
  </si>
  <si>
    <t>855 8743 2012</t>
  </si>
  <si>
    <t>D0014811</t>
  </si>
  <si>
    <t xml:space="preserve">王正旭口述 </t>
  </si>
  <si>
    <t>419.79 8446 2013</t>
  </si>
  <si>
    <t>D0014812</t>
  </si>
  <si>
    <t xml:space="preserve">林虹汝(公共行政, 1981-) </t>
  </si>
  <si>
    <t>417.8 8753:3 2009</t>
  </si>
  <si>
    <t>D0014813</t>
  </si>
  <si>
    <t>鍾浩然</t>
  </si>
  <si>
    <t xml:space="preserve">香港商務印書館, </t>
  </si>
  <si>
    <t>415.22 8635 2013</t>
  </si>
  <si>
    <t>D0014840</t>
  </si>
  <si>
    <t xml:space="preserve">特掃隊長著 </t>
  </si>
  <si>
    <t>時報出版,</t>
  </si>
  <si>
    <t>489.66 8557 2016</t>
  </si>
  <si>
    <t>D0014843</t>
  </si>
  <si>
    <t xml:space="preserve">蕭爾(Shore, Stephen, 1961-)作 </t>
  </si>
  <si>
    <t xml:space="preserve">大和書報經銷, ;心靈工坊文化出版 ; </t>
  </si>
  <si>
    <t>415.988 863 2008</t>
  </si>
  <si>
    <t>D0014915</t>
  </si>
  <si>
    <t>慈濟護理團隊合著</t>
  </si>
  <si>
    <t>419.652 8236 2016</t>
  </si>
  <si>
    <t>D0014916</t>
  </si>
  <si>
    <t xml:space="preserve">西蒙(Simon, Scott) </t>
  </si>
  <si>
    <t xml:space="preserve">日月, </t>
  </si>
  <si>
    <t>785.28 848 2015</t>
  </si>
  <si>
    <t>D0014947</t>
  </si>
  <si>
    <t xml:space="preserve">高柏格(Goldberg, Stan, 1945-) </t>
  </si>
  <si>
    <t>城邦商業周刊出版 ;;高見文化總經銷,</t>
  </si>
  <si>
    <t>419.71 8344 2013</t>
  </si>
  <si>
    <t>D0015006</t>
  </si>
  <si>
    <t>高寶國際出版 :;希代多媒體書發行,</t>
  </si>
  <si>
    <t>861.57 8776-2 2012</t>
  </si>
  <si>
    <t>D0015033</t>
  </si>
  <si>
    <t>呂政達著</t>
  </si>
  <si>
    <t>417.9 8577 2013</t>
  </si>
  <si>
    <t>D0015034</t>
  </si>
  <si>
    <t xml:space="preserve">吳錦勳 </t>
  </si>
  <si>
    <t>大和書報總經銷,;遠見天下文化 ;</t>
  </si>
  <si>
    <t>410.9933 8556 2014</t>
  </si>
  <si>
    <t>D0015298</t>
  </si>
  <si>
    <t>410.3 8236-2 2015</t>
  </si>
  <si>
    <t>D0015299</t>
  </si>
  <si>
    <t>419.47 8448 2013</t>
  </si>
  <si>
    <t>D0015300</t>
  </si>
  <si>
    <t xml:space="preserve">高德曼(Goldman, Brian) </t>
  </si>
  <si>
    <t xml:space="preserve">遠見天下文化, </t>
  </si>
  <si>
    <t>415.22 8358 2015</t>
  </si>
  <si>
    <t>D0015607</t>
  </si>
  <si>
    <t xml:space="preserve">周永彩(Chow, Tiffany) </t>
  </si>
  <si>
    <t xml:space="preserve">遠見天下, </t>
  </si>
  <si>
    <t>415.934 8668 2016</t>
  </si>
  <si>
    <t>D0015608</t>
  </si>
  <si>
    <t xml:space="preserve">希伯里(Sibley, Priscille) </t>
  </si>
  <si>
    <t>874.57 8765 2015</t>
  </si>
  <si>
    <t>D0015609</t>
  </si>
  <si>
    <t>周志建著</t>
  </si>
  <si>
    <t>178.8 8637-2 2016</t>
  </si>
  <si>
    <t>D0015647</t>
  </si>
  <si>
    <t xml:space="preserve">川越厚著 </t>
  </si>
  <si>
    <t xml:space="preserve">台灣東販發行 : ;聯合發行總經銷, </t>
  </si>
  <si>
    <t>419.825 8734 2016</t>
  </si>
  <si>
    <t>D0015648</t>
  </si>
  <si>
    <t>陳鴻彬作</t>
  </si>
  <si>
    <t>544.18 8726 2016</t>
  </si>
  <si>
    <t>D0015649</t>
  </si>
  <si>
    <t>卡拉尼提(Kalanithi, Paul)著</t>
  </si>
  <si>
    <t>415.4682 8445 2016</t>
  </si>
  <si>
    <t>D0015687</t>
  </si>
  <si>
    <t>下重曉子</t>
  </si>
  <si>
    <t xml:space="preserve">三采發行, </t>
  </si>
  <si>
    <t>544.1931 8366 2016</t>
  </si>
  <si>
    <t>D0015709</t>
  </si>
  <si>
    <t>小澤竹俊</t>
  </si>
  <si>
    <t>419.825 8447:2 2016</t>
  </si>
  <si>
    <t>D0015727</t>
  </si>
  <si>
    <t xml:space="preserve">佐藤綾子 </t>
  </si>
  <si>
    <t>原水文化 ,</t>
  </si>
  <si>
    <t>419.47 8649 2014</t>
  </si>
  <si>
    <t>D0015728</t>
  </si>
  <si>
    <t xml:space="preserve">川嵨朗, 1957- </t>
  </si>
  <si>
    <t xml:space="preserve">新自然主義, </t>
  </si>
  <si>
    <t>410 8743 2014</t>
  </si>
  <si>
    <t>D0015752</t>
  </si>
  <si>
    <t xml:space="preserve">石曜堂作 </t>
  </si>
  <si>
    <t xml:space="preserve">五南圖書, </t>
  </si>
  <si>
    <t>410.3 8455 2017</t>
  </si>
  <si>
    <t>2017</t>
  </si>
  <si>
    <t>醫學教育組</t>
  </si>
  <si>
    <t>D0015753</t>
  </si>
  <si>
    <t>王雅慧著</t>
  </si>
  <si>
    <t xml:space="preserve">城邦印書館, </t>
  </si>
  <si>
    <t>410.3 8443:2 2016</t>
  </si>
  <si>
    <t>D0015772</t>
  </si>
  <si>
    <t xml:space="preserve">鄭逸如 </t>
  </si>
  <si>
    <t xml:space="preserve">五南, </t>
  </si>
  <si>
    <t>419.47 8496 2017</t>
  </si>
  <si>
    <t>D0015773</t>
  </si>
  <si>
    <t xml:space="preserve">劉華 </t>
  </si>
  <si>
    <t>宇宙光出版 ;;貿騰經銷,</t>
  </si>
  <si>
    <t>244.95 876 2017</t>
  </si>
  <si>
    <t>D0015774</t>
  </si>
  <si>
    <t xml:space="preserve">大津秀一,1976-文字作者 </t>
  </si>
  <si>
    <t>遠見天下文化出版股份有限公司出版 ;;大和書報圖書股份有限公司總經銷,</t>
  </si>
  <si>
    <t>197 8746 2017</t>
  </si>
  <si>
    <t>D0015803</t>
  </si>
  <si>
    <t xml:space="preserve">蔡佳芬著 </t>
  </si>
  <si>
    <t>415.934 8467 2017</t>
  </si>
  <si>
    <t>D0015804</t>
  </si>
  <si>
    <t xml:space="preserve">朱為民 </t>
  </si>
  <si>
    <t>大和書報總經銷,;四塊玉文創出版 ;</t>
  </si>
  <si>
    <t>419.825 8925 2017</t>
  </si>
  <si>
    <t>D0015805</t>
  </si>
  <si>
    <t>主動脈著</t>
  </si>
  <si>
    <t xml:space="preserve">晨星, </t>
  </si>
  <si>
    <t>410.7 8389 2017</t>
  </si>
  <si>
    <t>D0015806</t>
  </si>
  <si>
    <t xml:space="preserve">威爾(Janet, Wehr) </t>
  </si>
  <si>
    <t>時報,</t>
  </si>
  <si>
    <t>419.825 833 2017</t>
  </si>
  <si>
    <t>D0015809</t>
  </si>
  <si>
    <t>丘美珍著</t>
  </si>
  <si>
    <t>419.333 8666 2010</t>
  </si>
  <si>
    <t>D0015813</t>
  </si>
  <si>
    <t>布朗(Brown, Theresa)著</t>
  </si>
  <si>
    <t>419.821 853 2012</t>
  </si>
  <si>
    <t>D0015822</t>
  </si>
  <si>
    <t>吳惠晶</t>
  </si>
  <si>
    <t>855 8835 2016</t>
  </si>
  <si>
    <t>D0015857</t>
  </si>
  <si>
    <t>李詩應作</t>
  </si>
  <si>
    <t xml:space="preserve">遠足文化發行, ;方舟文化出版 : </t>
  </si>
  <si>
    <t>419.47 8422 2017</t>
  </si>
  <si>
    <t>D0015858</t>
  </si>
  <si>
    <t>419.47 8422 2017 c.2</t>
  </si>
  <si>
    <t>D0015874</t>
  </si>
  <si>
    <t xml:space="preserve">葛拉夫(Graf, Traci) </t>
  </si>
  <si>
    <t>大和書報總經銷,;遠見天下文化出版 ;</t>
  </si>
  <si>
    <t>416.17 8647 2015</t>
  </si>
  <si>
    <t>D0015875</t>
  </si>
  <si>
    <t>佐野夜.</t>
  </si>
  <si>
    <t>精誠資訊,</t>
  </si>
  <si>
    <t>861.57 8666 2016</t>
  </si>
  <si>
    <t>D0015912</t>
  </si>
  <si>
    <t xml:space="preserve">陳德中 </t>
  </si>
  <si>
    <t>方智 ,</t>
  </si>
  <si>
    <t>192.1 8756 2017</t>
  </si>
  <si>
    <t>D0015913</t>
  </si>
  <si>
    <t xml:space="preserve">芭托蕾蒂(Bartoletti, Susan Campbell)著 </t>
  </si>
  <si>
    <t>415.2746 8655 2016</t>
  </si>
  <si>
    <t>D0015931</t>
  </si>
  <si>
    <t xml:space="preserve">伊佳奇 </t>
  </si>
  <si>
    <t>天下雜誌出版 ;;大和書報圖書總經銷,</t>
  </si>
  <si>
    <t>415.934 8865-2 2017</t>
  </si>
  <si>
    <t>D0015932</t>
  </si>
  <si>
    <t xml:space="preserve">方俊凱 </t>
  </si>
  <si>
    <t>博思智庫出版 ;;聯合發行總代理,</t>
  </si>
  <si>
    <t>419.825 8595 2018</t>
  </si>
  <si>
    <t>2018</t>
  </si>
  <si>
    <t>D0015970</t>
  </si>
  <si>
    <t xml:space="preserve">甯方剛 </t>
  </si>
  <si>
    <t>漫遊者出版 :;大雁發行,</t>
  </si>
  <si>
    <t>410.9 8456 2017 V.1</t>
  </si>
  <si>
    <t>D0015971</t>
  </si>
  <si>
    <t>410.9 8456 2017 V.2</t>
  </si>
  <si>
    <t>D0016030</t>
  </si>
  <si>
    <t>陳世琦</t>
  </si>
  <si>
    <t>419.8 8755 2018</t>
  </si>
  <si>
    <t>D0016035</t>
  </si>
  <si>
    <t>吳宛霖著</t>
  </si>
  <si>
    <t>525.39 8847 2018</t>
  </si>
  <si>
    <t>D0016036</t>
  </si>
  <si>
    <t xml:space="preserve">王浩威著 </t>
  </si>
  <si>
    <t>176.52 8433 2013</t>
  </si>
  <si>
    <t>D0016046</t>
  </si>
  <si>
    <t xml:space="preserve">梁妃儀 </t>
  </si>
  <si>
    <t>中華民國癌症醫學會,</t>
  </si>
  <si>
    <t>410.9933 8675-2 2018</t>
  </si>
  <si>
    <t>D0016064</t>
  </si>
  <si>
    <t>瓊瑤作</t>
  </si>
  <si>
    <t>855 874 2017</t>
  </si>
  <si>
    <t>D0016066</t>
  </si>
  <si>
    <t xml:space="preserve">解麗文(管理科學) </t>
  </si>
  <si>
    <t>大和圖書總經銷,;天下生活出版 ;</t>
  </si>
  <si>
    <t>415.668 8756:2 2017</t>
  </si>
  <si>
    <t>D0016086</t>
  </si>
  <si>
    <t xml:space="preserve">郭志祥(社工人員),文字作者 </t>
  </si>
  <si>
    <t>麥田出版出版 :;英屬蓋曼群島家庭傳媒股份有限公司城邦分公司發行,</t>
  </si>
  <si>
    <t>192.9 8434 2018</t>
  </si>
  <si>
    <t>D0016087</t>
  </si>
  <si>
    <t>周恬弘著</t>
  </si>
  <si>
    <t xml:space="preserve">大雁文化發行, ;啟動文化出版 : </t>
  </si>
  <si>
    <t>419.47 8633 2018</t>
  </si>
  <si>
    <t>D0016099</t>
  </si>
  <si>
    <t>544.85 846 2018</t>
  </si>
  <si>
    <t>D0016100</t>
  </si>
  <si>
    <t xml:space="preserve">林怡芳(護理人員),1981-文字作者 </t>
  </si>
  <si>
    <t>博思智庫股份有限公司,</t>
  </si>
  <si>
    <t>417.8 8737 2018</t>
  </si>
  <si>
    <t>D0016101</t>
  </si>
  <si>
    <t xml:space="preserve">李佳燕(心理學),文字作者 </t>
  </si>
  <si>
    <t xml:space="preserve">寶瓶文化事業股份有限公司,;大和書報圖書股份有限公司 </t>
  </si>
  <si>
    <t>528.2 8463 2018</t>
  </si>
  <si>
    <t>腫瘤中心</t>
  </si>
  <si>
    <t>D0016110</t>
  </si>
  <si>
    <t xml:space="preserve">瑞森布克(Rentzenbrink, Cathy),文字作者 </t>
  </si>
  <si>
    <t>419.825 8575 2018</t>
  </si>
  <si>
    <t>D0016111</t>
  </si>
  <si>
    <t xml:space="preserve">穆琳(醫師),文字作者 </t>
  </si>
  <si>
    <t>419.47 887 2018</t>
  </si>
  <si>
    <t>D0016155</t>
  </si>
  <si>
    <t>賴其萬編</t>
  </si>
  <si>
    <t xml:space="preserve">民報文化, </t>
  </si>
  <si>
    <t>410.7 8334-2 2018</t>
  </si>
  <si>
    <t>D0016156</t>
  </si>
  <si>
    <t xml:space="preserve">齊特(Zitter, Jessica Nutik),文字作者 </t>
  </si>
  <si>
    <t>419.825 845 2018</t>
  </si>
  <si>
    <t>D0016157</t>
  </si>
  <si>
    <t xml:space="preserve">簡守信,受訪者 </t>
  </si>
  <si>
    <t xml:space="preserve">經典雜誌, 慈濟傳播人文志業基金會,;聯合發行股份有限公司 </t>
  </si>
  <si>
    <t>410.7 8626 2018</t>
  </si>
  <si>
    <t>D0016158</t>
  </si>
  <si>
    <t xml:space="preserve">簡守信,文字作者 </t>
  </si>
  <si>
    <t>410.7 8626-2 2018</t>
  </si>
  <si>
    <t>D0016203</t>
  </si>
  <si>
    <t>摩爾(Mol, Annemarie)作</t>
  </si>
  <si>
    <t xml:space="preserve">左岸文化出版 : ;遠足文化發行, </t>
  </si>
  <si>
    <t>419.47 843 2018</t>
  </si>
  <si>
    <t>D0016247</t>
  </si>
  <si>
    <t xml:space="preserve">朱為民(醫學),1983-文字作者 </t>
  </si>
  <si>
    <t>商周出版 :;聯合發行股份有限公司 ;英屬蓋曼群島商家庭傳媒股份有限公司城邦分公司發行,</t>
  </si>
  <si>
    <t>419.825 8925-2 2018</t>
  </si>
  <si>
    <t>D0016248</t>
  </si>
  <si>
    <t xml:space="preserve">陳永儀,1970-文字作者 </t>
  </si>
  <si>
    <t>三采文化股份有限公司,</t>
  </si>
  <si>
    <t>197.1 8765 2018</t>
  </si>
  <si>
    <t>D0016249</t>
  </si>
  <si>
    <t xml:space="preserve">久部羊,文字作者 </t>
  </si>
  <si>
    <t xml:space="preserve">天下生活出版股份有限公司,;大和圖書有限公司 </t>
  </si>
  <si>
    <t>861.57 8974 2018</t>
  </si>
  <si>
    <t>D0016264</t>
  </si>
  <si>
    <t xml:space="preserve">培理 (Perry, Bruce D.) </t>
  </si>
  <si>
    <t xml:space="preserve">柿子, </t>
  </si>
  <si>
    <t>415.95 844 2018</t>
  </si>
  <si>
    <t>D0016265</t>
  </si>
  <si>
    <t xml:space="preserve">碧阿克(Byock, Ira),文字作者 </t>
  </si>
  <si>
    <t>英屬維京群島商高寶國際有限公司臺灣分公司,</t>
  </si>
  <si>
    <t>197 8455 2018</t>
  </si>
  <si>
    <t>D0016266</t>
  </si>
  <si>
    <t>艾甘(Egan, Kerry)著</t>
  </si>
  <si>
    <t xml:space="preserve">如果出版 : ;大雁出版基地發行, </t>
  </si>
  <si>
    <t>197 887 2018</t>
  </si>
  <si>
    <t>D0016267</t>
  </si>
  <si>
    <t xml:space="preserve">林佳嬡1991-文字作者,插圖者 </t>
  </si>
  <si>
    <t>時報文化出版企業股份有限公司,</t>
  </si>
  <si>
    <t>957.9 8769 2019</t>
  </si>
  <si>
    <t>2019</t>
  </si>
  <si>
    <t>D0016268</t>
  </si>
  <si>
    <t>米契爾(Mitchell, Wendy)著</t>
  </si>
  <si>
    <t>415.934 8247 2019</t>
  </si>
  <si>
    <t>D0016269</t>
  </si>
  <si>
    <t>861.57 8974-2 2018</t>
  </si>
  <si>
    <t>D0016285</t>
  </si>
  <si>
    <t>416.612 8574 2018</t>
  </si>
  <si>
    <t>D0016305</t>
  </si>
  <si>
    <t xml:space="preserve">楊重源(中醫學) </t>
  </si>
  <si>
    <t>本事文化,</t>
  </si>
  <si>
    <t>547.16 8662 2014</t>
  </si>
  <si>
    <t>D0016306</t>
  </si>
  <si>
    <t>415.9314 8458 2015</t>
  </si>
  <si>
    <t>D0016319</t>
  </si>
  <si>
    <t xml:space="preserve">江坤俊 </t>
  </si>
  <si>
    <t>如何,</t>
  </si>
  <si>
    <t>417.8 8359 2019</t>
  </si>
  <si>
    <t>D0016320</t>
  </si>
  <si>
    <t>蘇(Su, Peter)著</t>
  </si>
  <si>
    <t>863.55 8856 2019</t>
  </si>
  <si>
    <t>D0016399</t>
  </si>
  <si>
    <t>麗普斯卡(Lipska,Barbara K.)$作</t>
  </si>
  <si>
    <t xml:space="preserve">究竟, </t>
  </si>
  <si>
    <t>415.95 8535:2 2019</t>
  </si>
  <si>
    <t>D0016400</t>
  </si>
  <si>
    <t xml:space="preserve">蓋瑞醫師著 </t>
  </si>
  <si>
    <t xml:space="preserve">四塊玉文創, </t>
  </si>
  <si>
    <t>410.7 8554 2019</t>
  </si>
  <si>
    <t>D0016447</t>
  </si>
  <si>
    <t>林怡嘉 作</t>
  </si>
  <si>
    <t>博思智庫,;聯合總代理</t>
  </si>
  <si>
    <t>419.825 8734 2019</t>
  </si>
  <si>
    <t>社服室</t>
  </si>
  <si>
    <t>D0016450</t>
  </si>
  <si>
    <t>楊敏昇著</t>
  </si>
  <si>
    <t>191.9 8696 2019</t>
  </si>
  <si>
    <t>D0016480</t>
  </si>
  <si>
    <t xml:space="preserve">聯合總經銷, ;聯經出版 : </t>
  </si>
  <si>
    <t>410.7 8389-2 2019</t>
  </si>
  <si>
    <t>D0016481</t>
  </si>
  <si>
    <t>許瓊心口述</t>
  </si>
  <si>
    <t xml:space="preserve">城邦商業周刊, </t>
  </si>
  <si>
    <t>783.3886 8472 2019</t>
  </si>
  <si>
    <t>D0016482</t>
  </si>
  <si>
    <t>楊重源著</t>
  </si>
  <si>
    <t xml:space="preserve">健行文化, </t>
  </si>
  <si>
    <t>415.95 8662 2019</t>
  </si>
  <si>
    <t>D0016533</t>
  </si>
  <si>
    <t>劉宗瑀著</t>
  </si>
  <si>
    <t>416 8723-3 2017</t>
  </si>
  <si>
    <t>D0016534</t>
  </si>
  <si>
    <t>黃軒著</t>
  </si>
  <si>
    <t xml:space="preserve">天下生活出版 : ;大和圖書總經銷, </t>
  </si>
  <si>
    <t>419.825 835 2019</t>
  </si>
  <si>
    <t>D0016562</t>
  </si>
  <si>
    <t>尹智會 圖文</t>
  </si>
  <si>
    <t>大田,;知己總經銷</t>
  </si>
  <si>
    <t>417.8 8666 2020</t>
  </si>
  <si>
    <t>2020</t>
  </si>
  <si>
    <t>D0016575</t>
  </si>
  <si>
    <t xml:space="preserve">陳志金 著 </t>
  </si>
  <si>
    <t>原水文化</t>
  </si>
  <si>
    <t>415 8736 2020</t>
  </si>
  <si>
    <t>D0016593</t>
  </si>
  <si>
    <t xml:space="preserve">牛皮著 </t>
  </si>
  <si>
    <t>太雅出版,</t>
  </si>
  <si>
    <t>419.652 877 2020</t>
  </si>
  <si>
    <t>D0016594</t>
  </si>
  <si>
    <t>高愛倫 著</t>
  </si>
  <si>
    <t>聯經</t>
  </si>
  <si>
    <t>415.985 8397 2020</t>
  </si>
  <si>
    <t>D0016647</t>
  </si>
  <si>
    <t>希區考克 (Hitchcock, Karen),著</t>
  </si>
  <si>
    <t>游擊文化,;前衛, 草根總經銷</t>
  </si>
  <si>
    <t>544.85 8754 2021</t>
  </si>
  <si>
    <t>2021</t>
  </si>
  <si>
    <t>D0016648</t>
  </si>
  <si>
    <t>狄維瑟 (de Visser, Ellen)著</t>
  </si>
  <si>
    <t>叩應經銷,;圓神出版 :</t>
  </si>
  <si>
    <t>419.47 8966 2020</t>
  </si>
  <si>
    <t>D0016685</t>
  </si>
  <si>
    <t>林靜儀作</t>
  </si>
  <si>
    <t xml:space="preserve">大和總經銷, ;鏡文學出版 : </t>
  </si>
  <si>
    <t>417 8755 2018 v.1</t>
  </si>
  <si>
    <t>D0016686</t>
  </si>
  <si>
    <t xml:space="preserve">林靜儀著 </t>
  </si>
  <si>
    <t>大和書報圖書總經銷,;鏡文學出版 ;</t>
  </si>
  <si>
    <t>417 8755 2021 v.2</t>
  </si>
  <si>
    <t>D0016687</t>
  </si>
  <si>
    <t>小咩</t>
  </si>
  <si>
    <t>蜂鳥出版 :;泛華發行,</t>
  </si>
  <si>
    <t>855 846:2 2020</t>
  </si>
  <si>
    <t>D0016706</t>
  </si>
  <si>
    <t>歐芙莉 (Ofri, Danielle),著</t>
  </si>
  <si>
    <t>遠見天下文化,;大和總經銷</t>
  </si>
  <si>
    <t>419.47 8786 2020</t>
  </si>
  <si>
    <t>D0016707</t>
  </si>
  <si>
    <t>南宮仁 作</t>
  </si>
  <si>
    <t>415.22 8536 2020 v.1</t>
  </si>
  <si>
    <t>D0016708</t>
  </si>
  <si>
    <t>南宮仁著</t>
  </si>
  <si>
    <t>時報文化 ,</t>
  </si>
  <si>
    <t>415.22 8536 2020 v.2</t>
  </si>
  <si>
    <t>D0016713</t>
  </si>
  <si>
    <t>勒芒 文/圖(Le Men, Claire),</t>
  </si>
  <si>
    <t>究竟,;叩應經銷</t>
  </si>
  <si>
    <t>415.95 866:2 2020</t>
  </si>
  <si>
    <t>D0016714</t>
  </si>
  <si>
    <t>歐芙莉(Ofri, Danielle)</t>
  </si>
  <si>
    <t>遠見天下文化,</t>
  </si>
  <si>
    <t>419.47 8786-2 2020</t>
  </si>
  <si>
    <t>D0016715</t>
  </si>
  <si>
    <t>郭漢崇</t>
  </si>
  <si>
    <t xml:space="preserve">發光體, </t>
  </si>
  <si>
    <t>419.47 8464 2021</t>
  </si>
  <si>
    <t>D0016787</t>
  </si>
  <si>
    <t>李蓏昀著</t>
  </si>
  <si>
    <t>野人文化 ,</t>
  </si>
  <si>
    <t>419.652 8485 2021</t>
  </si>
  <si>
    <t>D0016788</t>
  </si>
  <si>
    <t>許禮安著</t>
  </si>
  <si>
    <t>海鴿文化 ,</t>
  </si>
  <si>
    <t>419.825 8433 2021</t>
  </si>
  <si>
    <t>D0016789</t>
  </si>
  <si>
    <t>小島美羽 著</t>
  </si>
  <si>
    <t xml:space="preserve">麥田, </t>
  </si>
  <si>
    <t>197 8476 2021</t>
  </si>
  <si>
    <t>D0016790</t>
  </si>
  <si>
    <t xml:space="preserve">埃爾頓(Elton,Caroline)作 </t>
  </si>
  <si>
    <t>木馬文化 ,</t>
  </si>
  <si>
    <t>178.8 8733 2021</t>
  </si>
  <si>
    <t>D0016843</t>
  </si>
  <si>
    <t>莊錦豪著</t>
  </si>
  <si>
    <t>544.8 8576 2018</t>
  </si>
  <si>
    <t>D0016879</t>
  </si>
  <si>
    <t>朱為民 著</t>
  </si>
  <si>
    <t xml:space="preserve">商周文化, </t>
  </si>
  <si>
    <t>419.825 8925-3 2021</t>
  </si>
  <si>
    <t>D0016880</t>
  </si>
  <si>
    <t>廖國秀</t>
  </si>
  <si>
    <t>博思智庫,</t>
  </si>
  <si>
    <t>417.8 8556 2021</t>
  </si>
  <si>
    <t>D0016901</t>
  </si>
  <si>
    <t>慈濟四大志業同仁及志工</t>
  </si>
  <si>
    <t xml:space="preserve">佛教慈濟醫療財團法人, </t>
  </si>
  <si>
    <t>410.03 8245 2021 V.1</t>
  </si>
  <si>
    <t>D0016902</t>
  </si>
  <si>
    <t>410.03 8245 2021 V.2</t>
  </si>
  <si>
    <t>D0016903</t>
  </si>
  <si>
    <t>皮考特(Picoult, Jodi)著</t>
  </si>
  <si>
    <t>874.57 8745:2-4 2012</t>
  </si>
  <si>
    <t>D0016907</t>
  </si>
  <si>
    <t xml:space="preserve">經典雜誌 : ;聯合經銷, ;慈濟傳播人文志業基金會出版 : </t>
  </si>
  <si>
    <t>410.03 8245 2021</t>
  </si>
  <si>
    <t>D0016926</t>
  </si>
  <si>
    <t xml:space="preserve">陳燕麟著 </t>
  </si>
  <si>
    <t xml:space="preserve">天下生活出版股份有限公司, </t>
  </si>
  <si>
    <t>416.64 8734 2021</t>
  </si>
  <si>
    <t>D0016927</t>
  </si>
  <si>
    <t>王雅慧,</t>
  </si>
  <si>
    <t>410.3 8443:2-2 2021</t>
  </si>
  <si>
    <t>D0016970</t>
  </si>
  <si>
    <t xml:space="preserve">陳志金著 </t>
  </si>
  <si>
    <t xml:space="preserve">原水文化.城邦文化事業股份有限公司, </t>
  </si>
  <si>
    <t>415 8736-2 2021</t>
  </si>
  <si>
    <t>D0016980</t>
  </si>
  <si>
    <t xml:space="preserve">蘇絢慧(心理學),文字作者 </t>
  </si>
  <si>
    <t xml:space="preserve">究竟出版社股份有限公司,;叩應股份有限公司 </t>
  </si>
  <si>
    <t>178.8 8863-3 2018</t>
  </si>
  <si>
    <t>讀者賠書</t>
  </si>
  <si>
    <t>D0016995</t>
  </si>
  <si>
    <t>邱仁輝</t>
  </si>
  <si>
    <t>聯合發行經銷,;依揚想亮人文出版 :</t>
  </si>
  <si>
    <t>863.55 8766 2021</t>
  </si>
  <si>
    <t>D0017002</t>
  </si>
  <si>
    <t>平光源 著</t>
  </si>
  <si>
    <t>172.9 8562 2022</t>
  </si>
  <si>
    <t>2022</t>
  </si>
  <si>
    <t>D0017003</t>
  </si>
  <si>
    <t>莊錦豪</t>
  </si>
  <si>
    <t>783.3886 8576 2022</t>
  </si>
  <si>
    <t>D0017027</t>
  </si>
  <si>
    <t>曹汶龍 著</t>
  </si>
  <si>
    <t xml:space="preserve">原水文化出版, ;英屬蓋曼群島商家庭傳媒股份有限公司城邦分公司發行 </t>
  </si>
  <si>
    <t>415.934 8463 2022</t>
  </si>
  <si>
    <t>D0017028</t>
  </si>
  <si>
    <t>二花小姐著</t>
  </si>
  <si>
    <t xml:space="preserve">高寶國際, </t>
  </si>
  <si>
    <t>415.934 8464 2022</t>
  </si>
  <si>
    <t>D0017047</t>
  </si>
  <si>
    <t>畢柳鶯著</t>
  </si>
  <si>
    <t>麥田出版 ,</t>
  </si>
  <si>
    <t>191.91 8652 2022</t>
  </si>
  <si>
    <t>D0017048</t>
  </si>
  <si>
    <t>吳坤佶 著</t>
  </si>
  <si>
    <t>新月文化出版 ; ;功倍實業總經銷,</t>
  </si>
  <si>
    <t>783.3886 8856 2022</t>
  </si>
  <si>
    <t>D0000068</t>
  </si>
  <si>
    <t>全面醫療品質管理 =Total quality management in health care institutions /</t>
  </si>
  <si>
    <t xml:space="preserve">顏裕庭 </t>
  </si>
  <si>
    <t>偉華,</t>
  </si>
  <si>
    <t>412.2 8236 1998</t>
  </si>
  <si>
    <t>大林慈院醫療品質區</t>
  </si>
  <si>
    <t>D0000435</t>
  </si>
  <si>
    <t>兒科加護病房醫病溝通與病患家屬需求及滿意度之探討</t>
  </si>
  <si>
    <t>慈濟大學</t>
  </si>
  <si>
    <t>547 8347 2002</t>
  </si>
  <si>
    <t>D0000830</t>
  </si>
  <si>
    <t>英文病歷範典</t>
  </si>
  <si>
    <t>大中國</t>
  </si>
  <si>
    <t>415.206 8463 1990</t>
  </si>
  <si>
    <t>1990</t>
  </si>
  <si>
    <t>D0001280</t>
  </si>
  <si>
    <t>醫療品質教學指引 /</t>
  </si>
  <si>
    <t>翁惠瑛</t>
  </si>
  <si>
    <t>419.203 8445 2010</t>
  </si>
  <si>
    <t>D0001281</t>
  </si>
  <si>
    <t>419.203 8445 2010 c.2</t>
  </si>
  <si>
    <t>D0001704</t>
  </si>
  <si>
    <t>健康照護的統計流程管制 /</t>
  </si>
  <si>
    <t xml:space="preserve">哈特(Hart, Marilyn K.,1951-) </t>
  </si>
  <si>
    <t>湯姆生出版,</t>
  </si>
  <si>
    <t>419.2 855 2007</t>
  </si>
  <si>
    <t>品管中心</t>
  </si>
  <si>
    <t>D0001915</t>
  </si>
  <si>
    <t>病歷書寫參考指引 /</t>
  </si>
  <si>
    <t>范碧玉主編 ;許清曉主編 ;黃勝雄主編</t>
  </si>
  <si>
    <t>合記,</t>
  </si>
  <si>
    <t>415.206 8643 2007 c.3</t>
  </si>
  <si>
    <t>病歷組;PGY;專案經費</t>
  </si>
  <si>
    <t>D0002018</t>
  </si>
  <si>
    <t>英文病歷的寫法 /</t>
  </si>
  <si>
    <t xml:space="preserve">白宏毅編著 </t>
  </si>
  <si>
    <t>南山堂發行,</t>
  </si>
  <si>
    <t>415.206 8226 1999</t>
  </si>
  <si>
    <t>D0002078</t>
  </si>
  <si>
    <t>不流淚的品管 /</t>
  </si>
  <si>
    <t xml:space="preserve">克勞斯比(Crosby, Philip B.)著 </t>
  </si>
  <si>
    <t>494.56 8555 1995</t>
  </si>
  <si>
    <t>D0002138</t>
  </si>
  <si>
    <t>標竿學習 =The benchmarking book :</t>
  </si>
  <si>
    <t xml:space="preserve">史平多利尼(Spendolini, Michael J.)編著 </t>
  </si>
  <si>
    <t>494.56 8855 1996</t>
  </si>
  <si>
    <t>D0002140</t>
  </si>
  <si>
    <t>品管圈成功的條件 /</t>
  </si>
  <si>
    <t xml:space="preserve">小林忠嗣著 </t>
  </si>
  <si>
    <t>臺華工商,</t>
  </si>
  <si>
    <t>494.56 8474 1993</t>
  </si>
  <si>
    <t>D0002385</t>
  </si>
  <si>
    <t>中醫病理研究</t>
  </si>
  <si>
    <t>413.18 8642 1985</t>
  </si>
  <si>
    <t>1985</t>
  </si>
  <si>
    <t>D0002386</t>
  </si>
  <si>
    <t>中醫病因病機學</t>
  </si>
  <si>
    <t>啟叢書局</t>
  </si>
  <si>
    <t>413.16 8646 1988</t>
  </si>
  <si>
    <t>1988</t>
  </si>
  <si>
    <t>D0002804</t>
  </si>
  <si>
    <t>職能治療實務 :臨床病歷撰寫 /</t>
  </si>
  <si>
    <t xml:space="preserve">薩梅什(Sames, Karen M.) </t>
  </si>
  <si>
    <t>418.94 8537 2008</t>
  </si>
  <si>
    <t>復健科</t>
  </si>
  <si>
    <t>D0002902</t>
  </si>
  <si>
    <t>循證管理 :依循證據找問題,正確決策破迷思 /</t>
  </si>
  <si>
    <t xml:space="preserve">PfefferJeffrey著 </t>
  </si>
  <si>
    <t>梅霖文化,</t>
  </si>
  <si>
    <t>494.2 857 2010</t>
  </si>
  <si>
    <t>D0003177</t>
  </si>
  <si>
    <t>醫療品質與醫師參與相關性之研究</t>
  </si>
  <si>
    <t>國立中正大學企業管理研究所</t>
  </si>
  <si>
    <t>419.2 8239 2001</t>
  </si>
  <si>
    <t>D0003190</t>
  </si>
  <si>
    <t>415.206 8643 2007</t>
  </si>
  <si>
    <t>D0003376</t>
  </si>
  <si>
    <t>第八屆全面醫療品質提升競賽活動：第一階段發表活動大會手冊/</t>
  </si>
  <si>
    <t>醫院評鑑暨醫療品質策進會,</t>
  </si>
  <si>
    <t>419.3 8644 2007</t>
  </si>
  <si>
    <t>D0003570</t>
  </si>
  <si>
    <t>病歷資訊管理學 =Health information management /</t>
  </si>
  <si>
    <t xml:space="preserve">范碧玉 </t>
  </si>
  <si>
    <t>范碧玉出版,</t>
  </si>
  <si>
    <t>415.206 8643-2 2008</t>
  </si>
  <si>
    <t>醫事室</t>
  </si>
  <si>
    <t>D0003585</t>
  </si>
  <si>
    <t>醫療品質管理學 =Quality management in healthcare /</t>
  </si>
  <si>
    <t xml:space="preserve">莊逸洲 </t>
  </si>
  <si>
    <t>419.2 8494 2001</t>
  </si>
  <si>
    <t>D0003677</t>
  </si>
  <si>
    <t>病歷寫作與管理</t>
  </si>
  <si>
    <t>彰化基督教醫院;力大</t>
  </si>
  <si>
    <t>415.206 8435 2009</t>
  </si>
  <si>
    <t>D0004009</t>
  </si>
  <si>
    <t>健康照護組織行為 /</t>
  </si>
  <si>
    <t xml:space="preserve">博爾科夫斯基(Borkowski, Nancy) </t>
  </si>
  <si>
    <t>419.5 8434 2008</t>
  </si>
  <si>
    <t>D0004137</t>
  </si>
  <si>
    <t>醫療關懷 /</t>
  </si>
  <si>
    <t xml:space="preserve">湯美霞 </t>
  </si>
  <si>
    <t>啟英文化,</t>
  </si>
  <si>
    <t>415.2 8567 2000</t>
  </si>
  <si>
    <t>D0004402</t>
  </si>
  <si>
    <t>醫療安全暨品質討論會</t>
  </si>
  <si>
    <t>419.207 8774 2008</t>
  </si>
  <si>
    <t>D0004704</t>
  </si>
  <si>
    <t>臨床路徑 :理論與實務 /</t>
  </si>
  <si>
    <t xml:space="preserve">朱樹勳,1937- ;李源德(醫學) ;范碧玉 </t>
  </si>
  <si>
    <t>臺大醫院出版委員會,</t>
  </si>
  <si>
    <t>419.2 8425 2000</t>
  </si>
  <si>
    <t>D0004705</t>
  </si>
  <si>
    <t>419.2 8494 2001 c.2</t>
  </si>
  <si>
    <t>D0004775</t>
  </si>
  <si>
    <t>醫療健康產業平衡計分卡理論與實務 =Theory and applications of the balanced scorecard in healthcare /</t>
  </si>
  <si>
    <t xml:space="preserve">周慧琍 </t>
  </si>
  <si>
    <t>411.1 8669 2008</t>
  </si>
  <si>
    <t>企劃室</t>
  </si>
  <si>
    <t>D0005011</t>
  </si>
  <si>
    <t>醫療品質指標理論與應用 /</t>
  </si>
  <si>
    <t xml:space="preserve">醫院評鑑暨醫療品質策進會 </t>
  </si>
  <si>
    <t>419.2 8454 2003</t>
  </si>
  <si>
    <t>D0005272</t>
  </si>
  <si>
    <t>彰化基督教醫院推展全面品質管理專輯</t>
  </si>
  <si>
    <t>419.16 8574 1996</t>
  </si>
  <si>
    <t>D0005439</t>
  </si>
  <si>
    <t>醫療品管的深耕活動 :醫療界的QCC實務 /</t>
  </si>
  <si>
    <t xml:space="preserve">中國醫藥學院附設醫院 </t>
  </si>
  <si>
    <t>中衛發展中心發行,</t>
  </si>
  <si>
    <t>419.2 8654 2001</t>
  </si>
  <si>
    <t>D0005784</t>
  </si>
  <si>
    <t>評估醫院醫療品質指標 /</t>
  </si>
  <si>
    <t xml:space="preserve">吳肖琪 </t>
  </si>
  <si>
    <t>紅螞蟻經銷,;編者出版 :</t>
  </si>
  <si>
    <t>419.3 8853 1999</t>
  </si>
  <si>
    <t>D0006103</t>
  </si>
  <si>
    <t>醫療品質獎優秀案例專刊. 主題類. 第9-11屆 /</t>
  </si>
  <si>
    <t>財團法人醫院評鑑暨醫療品質策進會,</t>
  </si>
  <si>
    <t>419.203 8425 2011 v.1</t>
  </si>
  <si>
    <t>D0006106</t>
  </si>
  <si>
    <t>419.203 8425 2011 v.2</t>
  </si>
  <si>
    <t>D0006124</t>
  </si>
  <si>
    <t>419.203 8425 2011 v.3</t>
  </si>
  <si>
    <t>D0006125</t>
  </si>
  <si>
    <t>醫療品質獎優秀案例專刊: 實證醫學臨床運用. 第9-11屆 /</t>
  </si>
  <si>
    <t>419.203 8425-2 2011</t>
  </si>
  <si>
    <t>D0006154</t>
  </si>
  <si>
    <t>英文病歷的正確寫法 =Writing medical records in English /</t>
  </si>
  <si>
    <t xml:space="preserve">羽白清 </t>
  </si>
  <si>
    <t>415.206 8393 2009 c.2</t>
  </si>
  <si>
    <t>D0006163</t>
  </si>
  <si>
    <t>臺大醫院臨床路徑病友篇 /</t>
  </si>
  <si>
    <t>國立臺灣大學醫學院</t>
  </si>
  <si>
    <t>金名圖書,</t>
  </si>
  <si>
    <t>415 8425 2004</t>
  </si>
  <si>
    <t>聽語中心;專案經費</t>
  </si>
  <si>
    <t>D0006164</t>
  </si>
  <si>
    <t>臺大醫院手術說明書彙編(含侵入性檢查) /</t>
  </si>
  <si>
    <t>416 8425 2004</t>
  </si>
  <si>
    <t>聽語中心</t>
  </si>
  <si>
    <t>D0006223</t>
  </si>
  <si>
    <t>419.2 8654 2001 c.2</t>
  </si>
  <si>
    <t>D0006225</t>
  </si>
  <si>
    <t>419.2 8454 2003 c.2</t>
  </si>
  <si>
    <t>D0006230</t>
  </si>
  <si>
    <t>基層改善向上發展 :落實團結圈活動的絕妙好書團結圈活動進階篇 /</t>
  </si>
  <si>
    <t xml:space="preserve">古垣春 </t>
  </si>
  <si>
    <t>中衛發展中心,</t>
  </si>
  <si>
    <t>494.58 8444 2000</t>
  </si>
  <si>
    <t>D0006231</t>
  </si>
  <si>
    <t xml:space="preserve">基層改善向下紮根 : 落實團結圈活動的絕妙好書. 團結圈活動基礎篇 / </t>
  </si>
  <si>
    <t>古垣春</t>
  </si>
  <si>
    <t xml:space="preserve">中衛發展中心, </t>
  </si>
  <si>
    <t>494.2 8444 2002</t>
  </si>
  <si>
    <t>D0006350</t>
  </si>
  <si>
    <t>病歷管理 /</t>
  </si>
  <si>
    <t xml:space="preserve">陳楚杰 </t>
  </si>
  <si>
    <t>宏翰文化,</t>
  </si>
  <si>
    <t>419.37 8773 1997</t>
  </si>
  <si>
    <t>D0006539</t>
  </si>
  <si>
    <t>416 8425 2004 c.2</t>
  </si>
  <si>
    <t>D0006582</t>
  </si>
  <si>
    <t>415 8425 2004 c.2</t>
  </si>
  <si>
    <t>D0007030</t>
  </si>
  <si>
    <t>課題達成實踐手冊 /</t>
  </si>
  <si>
    <t xml:space="preserve">簡茂椿 ;綾野克俊 </t>
  </si>
  <si>
    <t>494.56 8965 1996</t>
  </si>
  <si>
    <t>D0007031</t>
  </si>
  <si>
    <t>494.56 8965 1996 c.2</t>
  </si>
  <si>
    <t>D0007112</t>
  </si>
  <si>
    <t>419.2 8454 2003 c.3</t>
  </si>
  <si>
    <t>D0007219</t>
  </si>
  <si>
    <t>用藥安全臨床教案選集 /</t>
  </si>
  <si>
    <t>李偉強</t>
  </si>
  <si>
    <t>418 8473 2011 c.4</t>
  </si>
  <si>
    <t>D0007220</t>
  </si>
  <si>
    <t>418 8473 2011 c.5</t>
  </si>
  <si>
    <t>D0007226</t>
  </si>
  <si>
    <t>94年度病人安全海報展成果手冊/</t>
  </si>
  <si>
    <t>台北縣政府衛生局,</t>
  </si>
  <si>
    <t>419.27 8766 2005</t>
  </si>
  <si>
    <t>D0007277</t>
  </si>
  <si>
    <t>醫療品質教育教學指引</t>
  </si>
  <si>
    <t>長智;醫院評鑑暨醫療品質策進會</t>
  </si>
  <si>
    <t>419.203 8446 c.2</t>
  </si>
  <si>
    <t>D0007473</t>
  </si>
  <si>
    <t>醫療品質於實證醫務管理的應用研討會</t>
  </si>
  <si>
    <t>慈濟技術學院</t>
  </si>
  <si>
    <t>410.5 8465 2002</t>
  </si>
  <si>
    <t xml:space="preserve"> 　</t>
  </si>
  <si>
    <t>D0007732</t>
  </si>
  <si>
    <t>Total quality management for hospital nutrition services /</t>
  </si>
  <si>
    <t xml:space="preserve">Schiller, M. Rosita </t>
  </si>
  <si>
    <t>Aspen Publishers,</t>
  </si>
  <si>
    <t>WX168 S334 1994</t>
  </si>
  <si>
    <t>D0008113</t>
  </si>
  <si>
    <t>病歷的正確寫法 :問題導向型診療紀綠 /</t>
  </si>
  <si>
    <t xml:space="preserve">羽白清原著 </t>
  </si>
  <si>
    <t>415.206 8363 2005</t>
  </si>
  <si>
    <t>D0008491</t>
  </si>
  <si>
    <t>以客為尊的健康照護 /</t>
  </si>
  <si>
    <t xml:space="preserve">卓別林(Chaplin, Ed)著 </t>
  </si>
  <si>
    <t>經濟部中小企業處,</t>
  </si>
  <si>
    <t>419.2 8437 2005</t>
  </si>
  <si>
    <t>D0009176</t>
  </si>
  <si>
    <t>用藥安全與臨床實務教案選集 /</t>
  </si>
  <si>
    <t>藥害救濟基金會,</t>
  </si>
  <si>
    <t>418 8794 2012 c.3</t>
  </si>
  <si>
    <t>D0009414</t>
  </si>
  <si>
    <t>418 8794 2012 c.4</t>
  </si>
  <si>
    <t>D0009453</t>
  </si>
  <si>
    <t>第七屆全面醫療品質提升競賽活動:第一階段發表活動大會手冊/</t>
  </si>
  <si>
    <t>財團法人醫院評鑑暨醫療品質策進會主辦</t>
  </si>
  <si>
    <t>419.3 8644 2006</t>
  </si>
  <si>
    <t>D0009552</t>
  </si>
  <si>
    <t>臺灣中藥藥品管理相關法規彙編/</t>
  </si>
  <si>
    <t>林宜信</t>
  </si>
  <si>
    <t>行政院衛生署中醫藥委員會,</t>
  </si>
  <si>
    <t>412.24 8736 2006</t>
  </si>
  <si>
    <t>D0009571</t>
  </si>
  <si>
    <t>如何建構病患安全環境研討會會議實錄</t>
  </si>
  <si>
    <t>419.46 8765 2003</t>
  </si>
  <si>
    <t>D0009577</t>
  </si>
  <si>
    <t>Quality management in the imaging sciences /</t>
  </si>
  <si>
    <t xml:space="preserve">Papp, Jeffrey. </t>
  </si>
  <si>
    <t>Mosby Elsevier,</t>
  </si>
  <si>
    <t>WN180 P218 2006</t>
  </si>
  <si>
    <t>核子醫學科</t>
  </si>
  <si>
    <t>D0009616</t>
  </si>
  <si>
    <t>419.2 8654 2001 c.3</t>
  </si>
  <si>
    <t>D0009726</t>
  </si>
  <si>
    <t>病人安全管理與風險管理實務導引 =Practical guide to patientsafety management &amp; risk management /</t>
  </si>
  <si>
    <t xml:space="preserve">許國敏 </t>
  </si>
  <si>
    <t>419.2 8459 2006</t>
  </si>
  <si>
    <t>D0009902</t>
  </si>
  <si>
    <t xml:space="preserve">楊漢 </t>
  </si>
  <si>
    <t>419.2 8494 2007</t>
  </si>
  <si>
    <t>D0009980</t>
  </si>
  <si>
    <t>如何書寫病史及理學檢查 /</t>
  </si>
  <si>
    <t xml:space="preserve">葛林華德(Greenwald, Jeffrey L.) </t>
  </si>
  <si>
    <t>415.206 8676 2007</t>
  </si>
  <si>
    <t>D0010702</t>
  </si>
  <si>
    <t>494.56 8965 1998</t>
  </si>
  <si>
    <t>D0010760</t>
  </si>
  <si>
    <t>乳房攝影品管手冊 /</t>
  </si>
  <si>
    <t xml:space="preserve">魯承章 </t>
  </si>
  <si>
    <t>力大圖書,</t>
  </si>
  <si>
    <t>415.216 8674 2003</t>
  </si>
  <si>
    <t>D0010764</t>
  </si>
  <si>
    <t>418 8794 2012 c.5</t>
  </si>
  <si>
    <t>D0010768</t>
  </si>
  <si>
    <t>419.203 8446</t>
  </si>
  <si>
    <t>D0011113</t>
  </si>
  <si>
    <t>醫病診療900句典 /</t>
  </si>
  <si>
    <t xml:space="preserve">楊智媛 </t>
  </si>
  <si>
    <t>貝塔出版,</t>
  </si>
  <si>
    <t>805.188 8669 2007</t>
  </si>
  <si>
    <t>D0011951</t>
  </si>
  <si>
    <t>侵入性醫療感染管制作業基準 /</t>
  </si>
  <si>
    <t>榮民總醫院 ;行政院衛生署</t>
  </si>
  <si>
    <t>行政院衛生署疾病管制局,</t>
  </si>
  <si>
    <t>412.4 8776 2007</t>
  </si>
  <si>
    <t>D0011968</t>
  </si>
  <si>
    <t>如何寫好英文病歷 /</t>
  </si>
  <si>
    <t xml:space="preserve">謝文霖 </t>
  </si>
  <si>
    <t>國興出版,</t>
  </si>
  <si>
    <t>415.206 8267 2000</t>
  </si>
  <si>
    <t>D0012019</t>
  </si>
  <si>
    <t>第九屆醫療品質獎：第一階段發表活動大會手冊</t>
  </si>
  <si>
    <t>醫院評鑑暨醫療品質策進會</t>
  </si>
  <si>
    <t>419.3 8425 2008</t>
  </si>
  <si>
    <t>D0012020</t>
  </si>
  <si>
    <t>419.3 8425 2008 c.2</t>
  </si>
  <si>
    <t>D0012108</t>
  </si>
  <si>
    <t>415.206 8643 2007 c.2</t>
  </si>
  <si>
    <t>D0012118</t>
  </si>
  <si>
    <t>統計學基本技巧 :給專業醫療工作者的指引 /</t>
  </si>
  <si>
    <t xml:space="preserve">庫克(Cook, Adrian) </t>
  </si>
  <si>
    <t>360.13 8476 2009</t>
  </si>
  <si>
    <t>D0012360</t>
  </si>
  <si>
    <t>415.2 8567 2000 c.2</t>
  </si>
  <si>
    <t>D0012466</t>
  </si>
  <si>
    <t>419.2 8654 2001 c.4</t>
  </si>
  <si>
    <t>D0012561</t>
  </si>
  <si>
    <t>專案管理 /</t>
  </si>
  <si>
    <t xml:space="preserve">沈肇基(管理科學) </t>
  </si>
  <si>
    <t>臺灣東華,</t>
  </si>
  <si>
    <t>494 8444 2008</t>
  </si>
  <si>
    <t>D0012805</t>
  </si>
  <si>
    <t>跨越品質的鴻溝 /</t>
  </si>
  <si>
    <t xml:space="preserve">鄭紹宇主編.編譯 </t>
  </si>
  <si>
    <t>419.5 8464 2012</t>
  </si>
  <si>
    <t>急診部</t>
  </si>
  <si>
    <t>D0012869</t>
  </si>
  <si>
    <t>數位學習品質管理 =Quality assurance and quality managementin e-learning /</t>
  </si>
  <si>
    <t xml:space="preserve">張國恩 </t>
  </si>
  <si>
    <t>高等?育文化出版,</t>
  </si>
  <si>
    <t>521.539 8754 2012</t>
  </si>
  <si>
    <t>D0013172</t>
  </si>
  <si>
    <t xml:space="preserve">精實醫療 : 以精實方法改善醫療品質、病患安全及員工滿意 / </t>
  </si>
  <si>
    <t xml:space="preserve">葛萊班(Graban, Mark)著 </t>
  </si>
  <si>
    <t xml:space="preserve">紅螞蟻總經銷, ;中衛發展中心發行 : </t>
  </si>
  <si>
    <t>419.2 8684 2011</t>
  </si>
  <si>
    <t>D0013528</t>
  </si>
  <si>
    <t xml:space="preserve">實用醫療品質管理學 = Practical healthcare quality management / </t>
  </si>
  <si>
    <t>趙子傑作</t>
  </si>
  <si>
    <t xml:space="preserve">華杏, </t>
  </si>
  <si>
    <t>419.2 8449 2013</t>
  </si>
  <si>
    <t>D0013684</t>
  </si>
  <si>
    <t>419.5 8464 2012 c.2</t>
  </si>
  <si>
    <t>D0015029</t>
  </si>
  <si>
    <t>最新病歷記錄指引 =Medical record guidelines /</t>
  </si>
  <si>
    <t>臺灣醫療品質協會,</t>
  </si>
  <si>
    <t>415.206 8643-3 2016</t>
  </si>
  <si>
    <t>D0015030</t>
  </si>
  <si>
    <t xml:space="preserve">醫療革命 : 善用競爭策略,創造醫病雙贏的療護體制 / </t>
  </si>
  <si>
    <t>波特(Porter, Michael E.)著</t>
  </si>
  <si>
    <t>419.5 865 2014</t>
  </si>
  <si>
    <t>D0015035</t>
  </si>
  <si>
    <t>手術全期安全 :醫、護、病三方防護指南 = Perioperative safety : a guide for medical prefessionals and surgical patients /</t>
  </si>
  <si>
    <t xml:space="preserve">趙子傑,著 </t>
  </si>
  <si>
    <t>419.2 8449-2 2016</t>
  </si>
  <si>
    <t>D0015036</t>
  </si>
  <si>
    <t>419.2 8449-2 2016 c.2</t>
  </si>
  <si>
    <t>D0015292</t>
  </si>
  <si>
    <t>病歷閱讀 =Understanding medical records /</t>
  </si>
  <si>
    <t xml:space="preserve">劉明德(醫學) </t>
  </si>
  <si>
    <t>新文京開發,</t>
  </si>
  <si>
    <t>415.206 8755 2015</t>
  </si>
  <si>
    <t>D0015293</t>
  </si>
  <si>
    <t>病歷閱讀 =Comprehending medical records /</t>
  </si>
  <si>
    <t xml:space="preserve">王璟璇(護理學) </t>
  </si>
  <si>
    <t>415.206 8437 2016</t>
  </si>
  <si>
    <t>D0015294</t>
  </si>
  <si>
    <t xml:space="preserve">翻轉醫院評鑑 : 以病人為焦點之查證方式 = Flip the hospital accreditation:patient-focused method / </t>
  </si>
  <si>
    <t xml:space="preserve">華杏發行, </t>
  </si>
  <si>
    <t>419.2 8454-2 2016</t>
  </si>
  <si>
    <t>D0015372</t>
  </si>
  <si>
    <t>品管圈實際演練法 =Q-PAT method /</t>
  </si>
  <si>
    <t xml:space="preserve">鍾朝嵩 </t>
  </si>
  <si>
    <t>和昌發行,</t>
  </si>
  <si>
    <t>494.56 8645 2011 c.2</t>
  </si>
  <si>
    <t>D0015754</t>
  </si>
  <si>
    <t>護理品質管理 =Medicine quality management in nursing /</t>
  </si>
  <si>
    <t>周,慧琍</t>
  </si>
  <si>
    <t>419.6 8635 2015</t>
  </si>
  <si>
    <t>D0016191</t>
  </si>
  <si>
    <t>品質管理 :現代化觀念與實務應用 = Quality management : contemporary concepts and practical applications /</t>
  </si>
  <si>
    <t xml:space="preserve">鄭春生(工程) </t>
  </si>
  <si>
    <t>全華圖書,</t>
  </si>
  <si>
    <t>494.56 8446 2018</t>
  </si>
  <si>
    <t>D0016192</t>
  </si>
  <si>
    <t>醫療機構內部控制制度實務 /</t>
  </si>
  <si>
    <t xml:space="preserve">傅蘭英(醫務管理) </t>
  </si>
  <si>
    <t>臺灣醫務管理學會,</t>
  </si>
  <si>
    <t>419.2 8588 2012</t>
  </si>
  <si>
    <t xml:space="preserve">品管中心 </t>
  </si>
  <si>
    <t>D0016193</t>
  </si>
  <si>
    <t>智城慧市大未來 :全球趨勢、智慧應用、案例解讀,完全啟動下世代產業新商機! = The coming future of smart city /</t>
  </si>
  <si>
    <t xml:space="preserve">中衛發展中心 </t>
  </si>
  <si>
    <t>聯合發行公司總經銷,;中衛發展中心發行 ;</t>
  </si>
  <si>
    <t>484.6 8677 2017</t>
  </si>
  <si>
    <t>D0016194</t>
  </si>
  <si>
    <t>品質致勝 :全方位的品質管理,才能帶動高績效的競爭力 = Quality management to create competitiveness /</t>
  </si>
  <si>
    <t xml:space="preserve">鮑益新(機械工程) </t>
  </si>
  <si>
    <t>家庭傳媒城邦分公司發行,;商周出版 :</t>
  </si>
  <si>
    <t>494.56 8734 2018</t>
  </si>
  <si>
    <t>D0016315</t>
  </si>
  <si>
    <t xml:space="preserve">臨床醫學記錄寫作 / </t>
  </si>
  <si>
    <t>洪祖培</t>
  </si>
  <si>
    <t xml:space="preserve">臺灣病歷資訊管理學會, </t>
  </si>
  <si>
    <t>415.206 8234 2019</t>
  </si>
  <si>
    <t>D0016316</t>
  </si>
  <si>
    <t>415.206 8234 2019 c.2</t>
  </si>
  <si>
    <t>D0016556</t>
  </si>
  <si>
    <t xml:space="preserve">豐田精實管理的翻轉獲利秘密 : 不浪費就是提升生產力 / </t>
  </si>
  <si>
    <t>江守智著</t>
  </si>
  <si>
    <t>494.5 8326 2019</t>
  </si>
  <si>
    <t>D0016557</t>
  </si>
  <si>
    <t>精實革命 :消除浪費、創造獲利的有效方法 = Lean thinking : banish waste and create wealth in your corporation /</t>
  </si>
  <si>
    <t>Womack, James P.著</t>
  </si>
  <si>
    <t>家庭傳媒發行,;經濟新潮社出版 :</t>
  </si>
  <si>
    <t>494.2 8635 2015</t>
  </si>
  <si>
    <t>D0016558</t>
  </si>
  <si>
    <t>無印良品成功90%靠制度 :不加班、不回報也能創造驚人營收的究極管理 = 無印良品、仕組９割 仕事 /</t>
  </si>
  <si>
    <t>松井忠三,1949-,著</t>
  </si>
  <si>
    <t>大和書報圖書總經銷,;遠見天下文化出版 ;</t>
  </si>
  <si>
    <t>494 8354 2014</t>
  </si>
  <si>
    <t>D0016826</t>
  </si>
  <si>
    <t>快速上手智慧健康照護 /</t>
  </si>
  <si>
    <t>洪論評 作</t>
  </si>
  <si>
    <t>419.7 8244 2020</t>
  </si>
  <si>
    <t>D0016827</t>
  </si>
  <si>
    <t>醫療平衡計分卡 /</t>
  </si>
  <si>
    <t>陳進堂著</t>
  </si>
  <si>
    <t>五南 ,</t>
  </si>
  <si>
    <t>419.2 8795 2020</t>
  </si>
  <si>
    <t>D0016828</t>
  </si>
  <si>
    <t>預先防範型QC story :未來的風險可以預防 /</t>
  </si>
  <si>
    <t xml:space="preserve">中條武志,文字作者 </t>
  </si>
  <si>
    <t>聯合發行股份有限公司 ;財團法人中衛發展中心,</t>
  </si>
  <si>
    <t>494.56 8693 2020</t>
  </si>
  <si>
    <t>D0016829</t>
  </si>
  <si>
    <t>最新圖解失效模式分析(FMEA)與實務運用 :AIAG FMEA:2008與新版AIAG VDA FMEA:2019解說 /</t>
  </si>
  <si>
    <t>劉昱廷</t>
  </si>
  <si>
    <t>元神館,</t>
  </si>
  <si>
    <t>494.56 8759 2021</t>
  </si>
  <si>
    <t>D0017050</t>
  </si>
  <si>
    <t>Digital health care in Taiwan :innovations of national health insurance /</t>
  </si>
  <si>
    <t>Peng, Chia-hui,editor.;Chen, Tzu-Yu,editor.;Wang, Joyce Tsung-Hsi,editor.;Lee, Po-Chang,editor.</t>
  </si>
  <si>
    <t>Imprint: Springer,;Springer International Publishing :</t>
  </si>
  <si>
    <t>W82 D574 2022</t>
  </si>
  <si>
    <t>到館日期</t>
  </si>
  <si>
    <t>2013/10/01 00:00:00</t>
  </si>
  <si>
    <t>2022/11/10 00:00:00</t>
  </si>
  <si>
    <t>2013/08/23 00:00:00</t>
  </si>
  <si>
    <t>2012/11/23 00:00:00</t>
  </si>
  <si>
    <t>2017/06/09 00:00:00</t>
  </si>
  <si>
    <t>2021/06/09 00:00:00</t>
  </si>
  <si>
    <t>2016/06/23 00:00:00</t>
  </si>
  <si>
    <t>D0016274</t>
  </si>
  <si>
    <t>2019/05/13 00:00:00</t>
  </si>
  <si>
    <t>2022/09/12 00:00:00</t>
  </si>
  <si>
    <t>2020/04/14 00:00:00</t>
  </si>
  <si>
    <t>2013/12/17 00:00:00</t>
  </si>
  <si>
    <t>2018/05/17 00:00:00</t>
  </si>
  <si>
    <t>2018/10/16 00:00:00</t>
  </si>
  <si>
    <t>2017/09/28 00:00:00</t>
  </si>
  <si>
    <t>D0017111</t>
  </si>
  <si>
    <t>許自己一個尊嚴的安寧 /</t>
  </si>
  <si>
    <t>張明志</t>
  </si>
  <si>
    <t>寶瓶文化 ,</t>
  </si>
  <si>
    <t>197 8753 2022</t>
  </si>
  <si>
    <t>2023/04/11 00:00:00</t>
  </si>
  <si>
    <t>D0017113</t>
  </si>
  <si>
    <t>心安的練習 :一位麻醉醫師的人間修行 /</t>
  </si>
  <si>
    <t xml:space="preserve">主動脈著 </t>
  </si>
  <si>
    <t>聯合總經銷,;聯經出版 :</t>
  </si>
  <si>
    <t>225.87 8389 2022</t>
  </si>
  <si>
    <t>2022/01/05 00:00:00</t>
  </si>
  <si>
    <t>2022/01/10 00:00:00</t>
  </si>
  <si>
    <t>D0017063</t>
  </si>
  <si>
    <t xml:space="preserve">陪伴 : 最美的醫療人文 .2 / </t>
  </si>
  <si>
    <t>410.03 8245-2 2022</t>
  </si>
  <si>
    <t>2022/12/22 00:00:00</t>
  </si>
  <si>
    <t>D0017064</t>
  </si>
  <si>
    <t xml:space="preserve">陪伴紀念專輯 : 最美的醫療人文 .2 / </t>
  </si>
  <si>
    <t>410.03 8245-3 2022</t>
  </si>
  <si>
    <t>D0017139</t>
  </si>
  <si>
    <t xml:space="preserve">愛在COVID蔓延時 : 最美的醫療人文 .3 / </t>
  </si>
  <si>
    <t>410.03 8245-4 2023</t>
  </si>
  <si>
    <t>2023/04/21 00:00:00</t>
  </si>
  <si>
    <t>2023</t>
  </si>
  <si>
    <t>D0017140</t>
  </si>
  <si>
    <t>愛在COVID蔓延時紀念專輯一: 最美的醫療人文. 3  /</t>
  </si>
  <si>
    <t>慈濟四大志業同仁及志工 著</t>
  </si>
  <si>
    <t xml:space="preserve">佛教慈濟醫療財團法人出版, </t>
  </si>
  <si>
    <t>410.03 8245-4 2023 V.3-1</t>
  </si>
  <si>
    <t>D0017141</t>
  </si>
  <si>
    <t>愛在COVID蔓延時紀念專輯二: 最美的醫療人文. 3  /</t>
  </si>
  <si>
    <t>410.03 8245-4 2023 V.3-2</t>
  </si>
  <si>
    <t xml:space="preserve">用心，在對的地方 : 黃達夫的醫療觀 / </t>
  </si>
  <si>
    <t xml:space="preserve">一位外科醫師的修煉 / </t>
  </si>
  <si>
    <t>葛文德(Gawande, Atul)著</t>
  </si>
  <si>
    <t>2022/05/03 00:00:00</t>
  </si>
  <si>
    <t>D0017092</t>
  </si>
  <si>
    <t xml:space="preserve">未知生焉知死 : 敘事醫學閱讀反思與寫作 / </t>
  </si>
  <si>
    <t>王雅慧編著</t>
  </si>
  <si>
    <t xml:space="preserve">聯合發行發行, ;城邦印書館出版 : </t>
  </si>
  <si>
    <t>410.3 8443:2-6 2020</t>
  </si>
  <si>
    <t>D0017093</t>
  </si>
  <si>
    <t>當愛別離: 敘事醫學閱讀反思與寫作 /</t>
  </si>
  <si>
    <t>410.3 8443:2-7 2022</t>
  </si>
  <si>
    <t>D0017094</t>
  </si>
  <si>
    <t>助人, 簡單且平凡: 敘事醫學閱讀反思與寫作 /</t>
  </si>
  <si>
    <t>410.3 8443:2-8 2022</t>
  </si>
  <si>
    <t xml:space="preserve">Dr.小百合,今天也要堅強啊! : 催淚、爆笑、溫馨、呆萌的醫院實習生活 / </t>
  </si>
  <si>
    <t>小百合著</t>
  </si>
  <si>
    <t xml:space="preserve">在你穿上白袍之前 : 醫生媽媽給兒子的10封信 / </t>
  </si>
  <si>
    <t>葛拉斯(Klass,Perri)著</t>
  </si>
  <si>
    <t xml:space="preserve">第二意見 : 為自己尋求更好的醫療 / </t>
  </si>
  <si>
    <t>2015/06/04 00:00:00</t>
  </si>
  <si>
    <t>2019/10/31 00:00:00</t>
  </si>
  <si>
    <t xml:space="preserve">白袍 : 一位哈佛醫學生的歷練 / </t>
  </si>
  <si>
    <t>羅斯曼(Rothman, Ellen Lerner)作</t>
  </si>
  <si>
    <t>2014/10/21 00:00:00</t>
  </si>
  <si>
    <t>2015/09/21 00:00:00</t>
  </si>
  <si>
    <t>2015/01/26 00:00:00</t>
  </si>
  <si>
    <t>2020/10/29 00:00:00</t>
  </si>
  <si>
    <t xml:space="preserve">醫生,你確定是這樣嗎? / </t>
  </si>
  <si>
    <t>古柏曼(Groopman,Jerome)著</t>
  </si>
  <si>
    <t>D0017112</t>
  </si>
  <si>
    <t>急診的生命練習曲 :暖醫賈蔚從說話到聽話的白色故事 /</t>
  </si>
  <si>
    <t>賈蔚</t>
  </si>
  <si>
    <t>臺灣東販發行 ; ;聯合發行總經銷,</t>
  </si>
  <si>
    <t>415.22 834 2022</t>
  </si>
  <si>
    <t>2018/11/27 00:00:00</t>
  </si>
  <si>
    <t xml:space="preserve">我發瘋的那段日子 : 抗NMDA受體腦炎倖存者自傳 / </t>
  </si>
  <si>
    <t>卡哈蘭(Cahalan, Susannah)著</t>
  </si>
  <si>
    <t xml:space="preserve">遠足文化發行, ;行路出版 : </t>
  </si>
  <si>
    <t xml:space="preserve">病人心.醫師情 : 我的癲癇病友的故事 / </t>
  </si>
  <si>
    <t xml:space="preserve">我的抗癌歲月 : 婦幼天使蔡美娟與癌症病魔搏鬥十二載的真情告白 / </t>
  </si>
  <si>
    <t>蔡美娟著</t>
  </si>
  <si>
    <t>2021/11/17 00:00:00</t>
  </si>
  <si>
    <t xml:space="preserve">癌症病房的102天 : 陳永綺醫師陪醫師爸爸抗癌手記 / </t>
  </si>
  <si>
    <t>陳永綺著</t>
  </si>
  <si>
    <t xml:space="preserve">農學總經銷, ;新自然主義出版 : </t>
  </si>
  <si>
    <t>D0017096</t>
  </si>
  <si>
    <t>開刀房的溫暖 :外科醫師的同理與傾聽 /</t>
  </si>
  <si>
    <t xml:space="preserve">賴俊佑,1987- </t>
  </si>
  <si>
    <t>419.47 8396 2022</t>
  </si>
  <si>
    <t xml:space="preserve">醫療抉擇 : 醫師和每個人都應該知道的事 / </t>
  </si>
  <si>
    <t>D0017114</t>
  </si>
  <si>
    <t>帶你看見不一樣的世界 :小專科護理師的奇妙旅程 /</t>
  </si>
  <si>
    <t>梅作</t>
  </si>
  <si>
    <t>419.8 836 2022</t>
  </si>
  <si>
    <t xml:space="preserve">那一天我們去看你 : 人生最後旅程的31篇真情紀事 / </t>
  </si>
  <si>
    <t>韋至信</t>
  </si>
  <si>
    <t xml:space="preserve">一碗陽春麵的回憶 / </t>
  </si>
  <si>
    <t>周希諴著</t>
  </si>
  <si>
    <t xml:space="preserve">醫師的異想世界 / </t>
  </si>
  <si>
    <t>董氏基金會編著</t>
  </si>
  <si>
    <t xml:space="preserve">董氏基金會出版 : ;平裝本總經銷, </t>
  </si>
  <si>
    <t xml:space="preserve">台灣精神醫療的開拓者 / </t>
  </si>
  <si>
    <t>吳佳璇執筆</t>
  </si>
  <si>
    <t>2016/11/02 00:00:00</t>
  </si>
  <si>
    <t>2018/11/01 00:00:00</t>
  </si>
  <si>
    <t>2017/10/17 00:00:00</t>
  </si>
  <si>
    <t>2021/05/03 00:00:00</t>
  </si>
  <si>
    <t xml:space="preserve">如果父母老後難相處 : 如何陪伴他們走過晚年,而不再彼此傷害? / </t>
  </si>
  <si>
    <t>雷堡(Lebow, Grace)著</t>
  </si>
  <si>
    <t xml:space="preserve">橡實文化出版 : ;大雁出版基地發行, </t>
  </si>
  <si>
    <t>D0017095</t>
  </si>
  <si>
    <t>我的戰場在產房: 無國界醫生在阿富汗、伊拉克迎接新生命的熱血救援記事 /</t>
  </si>
  <si>
    <t>王伊蕾 著</t>
  </si>
  <si>
    <t>大塊文化,;大和總經銷</t>
  </si>
  <si>
    <t>783.3886 8485 2022</t>
  </si>
  <si>
    <t xml:space="preserve">一公升眼淚 : 與頑症對抗的少女亞也的日記 / </t>
  </si>
  <si>
    <t>木藤亞也著</t>
  </si>
  <si>
    <t>2012/04/26 00:00:00</t>
  </si>
  <si>
    <t>採購備註</t>
  </si>
  <si>
    <t>採購實價：770.00</t>
  </si>
  <si>
    <t>採購實價：330.00</t>
  </si>
  <si>
    <t>採購實價：613.00</t>
  </si>
  <si>
    <t>採購實價：433.00</t>
  </si>
  <si>
    <t>採購實價：587.00</t>
  </si>
  <si>
    <t>採購實價：535.00</t>
  </si>
  <si>
    <t>採購實價：350.00</t>
  </si>
  <si>
    <t>2019/06/04 00:00:00</t>
  </si>
  <si>
    <t>採購實價：550.00</t>
  </si>
  <si>
    <t>採購實價：385.00</t>
  </si>
  <si>
    <t>採購實價：340</t>
  </si>
  <si>
    <t>2014/10/26 00:00:00</t>
  </si>
  <si>
    <t>採購實價：300.00</t>
  </si>
  <si>
    <t>採購實價：306.00</t>
  </si>
  <si>
    <t>採購實價：281</t>
  </si>
  <si>
    <t>採購實價：468</t>
  </si>
  <si>
    <t>採購實價：272</t>
  </si>
  <si>
    <t>採購實價：527.00</t>
  </si>
  <si>
    <t>採購實價：321.00</t>
  </si>
  <si>
    <t>採購實價：298.00</t>
  </si>
  <si>
    <t>採購實價：510</t>
  </si>
  <si>
    <t>2023/01/04 00:00:00</t>
  </si>
  <si>
    <r>
      <rPr>
        <b/>
        <sz val="12"/>
        <rFont val="新細明體"/>
        <family val="1"/>
        <charset val="136"/>
      </rPr>
      <t>單位</t>
    </r>
  </si>
  <si>
    <r>
      <rPr>
        <b/>
        <sz val="12"/>
        <rFont val="新細明體"/>
        <family val="1"/>
        <charset val="136"/>
      </rPr>
      <t>醫學人文</t>
    </r>
    <phoneticPr fontId="6" type="noConversion"/>
  </si>
  <si>
    <r>
      <rPr>
        <b/>
        <sz val="12"/>
        <rFont val="新細明體"/>
        <family val="1"/>
        <charset val="136"/>
      </rPr>
      <t>醫學倫理</t>
    </r>
    <phoneticPr fontId="6" type="noConversion"/>
  </si>
  <si>
    <r>
      <rPr>
        <b/>
        <sz val="12"/>
        <rFont val="新細明體"/>
        <family val="1"/>
        <charset val="136"/>
      </rPr>
      <t>醫學法律</t>
    </r>
    <phoneticPr fontId="6" type="noConversion"/>
  </si>
  <si>
    <r>
      <rPr>
        <b/>
        <sz val="12"/>
        <rFont val="新細明體"/>
        <family val="1"/>
        <charset val="136"/>
      </rPr>
      <t>病人健康教育</t>
    </r>
    <phoneticPr fontId="6" type="noConversion"/>
  </si>
  <si>
    <r>
      <rPr>
        <b/>
        <sz val="12"/>
        <rFont val="新細明體"/>
        <family val="1"/>
        <charset val="136"/>
      </rPr>
      <t>品管</t>
    </r>
    <phoneticPr fontId="6" type="noConversion"/>
  </si>
  <si>
    <r>
      <rPr>
        <sz val="12"/>
        <rFont val="新細明體"/>
        <family val="1"/>
        <charset val="136"/>
      </rPr>
      <t>中文圖書冊數</t>
    </r>
    <phoneticPr fontId="6" type="noConversion"/>
  </si>
  <si>
    <r>
      <rPr>
        <sz val="12"/>
        <rFont val="新細明體"/>
        <family val="1"/>
        <charset val="136"/>
      </rPr>
      <t>西文圖書冊數</t>
    </r>
    <phoneticPr fontId="6" type="noConversion"/>
  </si>
  <si>
    <r>
      <rPr>
        <sz val="12"/>
        <rFont val="新細明體"/>
        <family val="1"/>
        <charset val="136"/>
      </rPr>
      <t>合計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</si>
</sst>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10"/>
      <name val="新細明體"/>
      <family val="1"/>
      <charset val="136"/>
    </font>
    <font>
      <b/>
      <sz val="12"/>
      <name val="Times New Roman"/>
      <family val="1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color indexed="8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0" xfId="1" applyFont="1"/>
    <xf numFmtId="176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1" applyFont="1" applyFill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l/Desktop/data%20share/&#26032;&#29256;&#32178;&#38913;&#29992;/list/lib-08-humanityb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總表"/>
      <sheetName val="醫學人文(605)"/>
      <sheetName val="醫學倫理(112)"/>
      <sheetName val="醫學法律(63)"/>
      <sheetName val="病人健康教育(456)"/>
      <sheetName val="品管(119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D10" sqref="D10"/>
    </sheetView>
  </sheetViews>
  <sheetFormatPr defaultColWidth="6.875" defaultRowHeight="15.75"/>
  <cols>
    <col min="1" max="1" width="13.5" style="5" bestFit="1" customWidth="1"/>
    <col min="2" max="4" width="9.875" style="5" bestFit="1" customWidth="1"/>
    <col min="5" max="5" width="11.625" style="9" customWidth="1"/>
    <col min="6" max="6" width="14.5" style="5" bestFit="1" customWidth="1"/>
    <col min="7" max="256" width="6.875" style="5"/>
    <col min="257" max="257" width="13.5" style="5" bestFit="1" customWidth="1"/>
    <col min="258" max="260" width="9.875" style="5" bestFit="1" customWidth="1"/>
    <col min="261" max="261" width="14.5" style="5" bestFit="1" customWidth="1"/>
    <col min="262" max="262" width="5.625" style="5" bestFit="1" customWidth="1"/>
    <col min="263" max="512" width="6.875" style="5"/>
    <col min="513" max="513" width="13.5" style="5" bestFit="1" customWidth="1"/>
    <col min="514" max="516" width="9.875" style="5" bestFit="1" customWidth="1"/>
    <col min="517" max="517" width="14.5" style="5" bestFit="1" customWidth="1"/>
    <col min="518" max="518" width="5.625" style="5" bestFit="1" customWidth="1"/>
    <col min="519" max="768" width="6.875" style="5"/>
    <col min="769" max="769" width="13.5" style="5" bestFit="1" customWidth="1"/>
    <col min="770" max="772" width="9.875" style="5" bestFit="1" customWidth="1"/>
    <col min="773" max="773" width="14.5" style="5" bestFit="1" customWidth="1"/>
    <col min="774" max="774" width="5.625" style="5" bestFit="1" customWidth="1"/>
    <col min="775" max="1024" width="6.875" style="5"/>
    <col min="1025" max="1025" width="13.5" style="5" bestFit="1" customWidth="1"/>
    <col min="1026" max="1028" width="9.875" style="5" bestFit="1" customWidth="1"/>
    <col min="1029" max="1029" width="14.5" style="5" bestFit="1" customWidth="1"/>
    <col min="1030" max="1030" width="5.625" style="5" bestFit="1" customWidth="1"/>
    <col min="1031" max="1280" width="6.875" style="5"/>
    <col min="1281" max="1281" width="13.5" style="5" bestFit="1" customWidth="1"/>
    <col min="1282" max="1284" width="9.875" style="5" bestFit="1" customWidth="1"/>
    <col min="1285" max="1285" width="14.5" style="5" bestFit="1" customWidth="1"/>
    <col min="1286" max="1286" width="5.625" style="5" bestFit="1" customWidth="1"/>
    <col min="1287" max="1536" width="6.875" style="5"/>
    <col min="1537" max="1537" width="13.5" style="5" bestFit="1" customWidth="1"/>
    <col min="1538" max="1540" width="9.875" style="5" bestFit="1" customWidth="1"/>
    <col min="1541" max="1541" width="14.5" style="5" bestFit="1" customWidth="1"/>
    <col min="1542" max="1542" width="5.625" style="5" bestFit="1" customWidth="1"/>
    <col min="1543" max="1792" width="6.875" style="5"/>
    <col min="1793" max="1793" width="13.5" style="5" bestFit="1" customWidth="1"/>
    <col min="1794" max="1796" width="9.875" style="5" bestFit="1" customWidth="1"/>
    <col min="1797" max="1797" width="14.5" style="5" bestFit="1" customWidth="1"/>
    <col min="1798" max="1798" width="5.625" style="5" bestFit="1" customWidth="1"/>
    <col min="1799" max="2048" width="6.875" style="5"/>
    <col min="2049" max="2049" width="13.5" style="5" bestFit="1" customWidth="1"/>
    <col min="2050" max="2052" width="9.875" style="5" bestFit="1" customWidth="1"/>
    <col min="2053" max="2053" width="14.5" style="5" bestFit="1" customWidth="1"/>
    <col min="2054" max="2054" width="5.625" style="5" bestFit="1" customWidth="1"/>
    <col min="2055" max="2304" width="6.875" style="5"/>
    <col min="2305" max="2305" width="13.5" style="5" bestFit="1" customWidth="1"/>
    <col min="2306" max="2308" width="9.875" style="5" bestFit="1" customWidth="1"/>
    <col min="2309" max="2309" width="14.5" style="5" bestFit="1" customWidth="1"/>
    <col min="2310" max="2310" width="5.625" style="5" bestFit="1" customWidth="1"/>
    <col min="2311" max="2560" width="6.875" style="5"/>
    <col min="2561" max="2561" width="13.5" style="5" bestFit="1" customWidth="1"/>
    <col min="2562" max="2564" width="9.875" style="5" bestFit="1" customWidth="1"/>
    <col min="2565" max="2565" width="14.5" style="5" bestFit="1" customWidth="1"/>
    <col min="2566" max="2566" width="5.625" style="5" bestFit="1" customWidth="1"/>
    <col min="2567" max="2816" width="6.875" style="5"/>
    <col min="2817" max="2817" width="13.5" style="5" bestFit="1" customWidth="1"/>
    <col min="2818" max="2820" width="9.875" style="5" bestFit="1" customWidth="1"/>
    <col min="2821" max="2821" width="14.5" style="5" bestFit="1" customWidth="1"/>
    <col min="2822" max="2822" width="5.625" style="5" bestFit="1" customWidth="1"/>
    <col min="2823" max="3072" width="6.875" style="5"/>
    <col min="3073" max="3073" width="13.5" style="5" bestFit="1" customWidth="1"/>
    <col min="3074" max="3076" width="9.875" style="5" bestFit="1" customWidth="1"/>
    <col min="3077" max="3077" width="14.5" style="5" bestFit="1" customWidth="1"/>
    <col min="3078" max="3078" width="5.625" style="5" bestFit="1" customWidth="1"/>
    <col min="3079" max="3328" width="6.875" style="5"/>
    <col min="3329" max="3329" width="13.5" style="5" bestFit="1" customWidth="1"/>
    <col min="3330" max="3332" width="9.875" style="5" bestFit="1" customWidth="1"/>
    <col min="3333" max="3333" width="14.5" style="5" bestFit="1" customWidth="1"/>
    <col min="3334" max="3334" width="5.625" style="5" bestFit="1" customWidth="1"/>
    <col min="3335" max="3584" width="6.875" style="5"/>
    <col min="3585" max="3585" width="13.5" style="5" bestFit="1" customWidth="1"/>
    <col min="3586" max="3588" width="9.875" style="5" bestFit="1" customWidth="1"/>
    <col min="3589" max="3589" width="14.5" style="5" bestFit="1" customWidth="1"/>
    <col min="3590" max="3590" width="5.625" style="5" bestFit="1" customWidth="1"/>
    <col min="3591" max="3840" width="6.875" style="5"/>
    <col min="3841" max="3841" width="13.5" style="5" bestFit="1" customWidth="1"/>
    <col min="3842" max="3844" width="9.875" style="5" bestFit="1" customWidth="1"/>
    <col min="3845" max="3845" width="14.5" style="5" bestFit="1" customWidth="1"/>
    <col min="3846" max="3846" width="5.625" style="5" bestFit="1" customWidth="1"/>
    <col min="3847" max="4096" width="6.875" style="5"/>
    <col min="4097" max="4097" width="13.5" style="5" bestFit="1" customWidth="1"/>
    <col min="4098" max="4100" width="9.875" style="5" bestFit="1" customWidth="1"/>
    <col min="4101" max="4101" width="14.5" style="5" bestFit="1" customWidth="1"/>
    <col min="4102" max="4102" width="5.625" style="5" bestFit="1" customWidth="1"/>
    <col min="4103" max="4352" width="6.875" style="5"/>
    <col min="4353" max="4353" width="13.5" style="5" bestFit="1" customWidth="1"/>
    <col min="4354" max="4356" width="9.875" style="5" bestFit="1" customWidth="1"/>
    <col min="4357" max="4357" width="14.5" style="5" bestFit="1" customWidth="1"/>
    <col min="4358" max="4358" width="5.625" style="5" bestFit="1" customWidth="1"/>
    <col min="4359" max="4608" width="6.875" style="5"/>
    <col min="4609" max="4609" width="13.5" style="5" bestFit="1" customWidth="1"/>
    <col min="4610" max="4612" width="9.875" style="5" bestFit="1" customWidth="1"/>
    <col min="4613" max="4613" width="14.5" style="5" bestFit="1" customWidth="1"/>
    <col min="4614" max="4614" width="5.625" style="5" bestFit="1" customWidth="1"/>
    <col min="4615" max="4864" width="6.875" style="5"/>
    <col min="4865" max="4865" width="13.5" style="5" bestFit="1" customWidth="1"/>
    <col min="4866" max="4868" width="9.875" style="5" bestFit="1" customWidth="1"/>
    <col min="4869" max="4869" width="14.5" style="5" bestFit="1" customWidth="1"/>
    <col min="4870" max="4870" width="5.625" style="5" bestFit="1" customWidth="1"/>
    <col min="4871" max="5120" width="6.875" style="5"/>
    <col min="5121" max="5121" width="13.5" style="5" bestFit="1" customWidth="1"/>
    <col min="5122" max="5124" width="9.875" style="5" bestFit="1" customWidth="1"/>
    <col min="5125" max="5125" width="14.5" style="5" bestFit="1" customWidth="1"/>
    <col min="5126" max="5126" width="5.625" style="5" bestFit="1" customWidth="1"/>
    <col min="5127" max="5376" width="6.875" style="5"/>
    <col min="5377" max="5377" width="13.5" style="5" bestFit="1" customWidth="1"/>
    <col min="5378" max="5380" width="9.875" style="5" bestFit="1" customWidth="1"/>
    <col min="5381" max="5381" width="14.5" style="5" bestFit="1" customWidth="1"/>
    <col min="5382" max="5382" width="5.625" style="5" bestFit="1" customWidth="1"/>
    <col min="5383" max="5632" width="6.875" style="5"/>
    <col min="5633" max="5633" width="13.5" style="5" bestFit="1" customWidth="1"/>
    <col min="5634" max="5636" width="9.875" style="5" bestFit="1" customWidth="1"/>
    <col min="5637" max="5637" width="14.5" style="5" bestFit="1" customWidth="1"/>
    <col min="5638" max="5638" width="5.625" style="5" bestFit="1" customWidth="1"/>
    <col min="5639" max="5888" width="6.875" style="5"/>
    <col min="5889" max="5889" width="13.5" style="5" bestFit="1" customWidth="1"/>
    <col min="5890" max="5892" width="9.875" style="5" bestFit="1" customWidth="1"/>
    <col min="5893" max="5893" width="14.5" style="5" bestFit="1" customWidth="1"/>
    <col min="5894" max="5894" width="5.625" style="5" bestFit="1" customWidth="1"/>
    <col min="5895" max="6144" width="6.875" style="5"/>
    <col min="6145" max="6145" width="13.5" style="5" bestFit="1" customWidth="1"/>
    <col min="6146" max="6148" width="9.875" style="5" bestFit="1" customWidth="1"/>
    <col min="6149" max="6149" width="14.5" style="5" bestFit="1" customWidth="1"/>
    <col min="6150" max="6150" width="5.625" style="5" bestFit="1" customWidth="1"/>
    <col min="6151" max="6400" width="6.875" style="5"/>
    <col min="6401" max="6401" width="13.5" style="5" bestFit="1" customWidth="1"/>
    <col min="6402" max="6404" width="9.875" style="5" bestFit="1" customWidth="1"/>
    <col min="6405" max="6405" width="14.5" style="5" bestFit="1" customWidth="1"/>
    <col min="6406" max="6406" width="5.625" style="5" bestFit="1" customWidth="1"/>
    <col min="6407" max="6656" width="6.875" style="5"/>
    <col min="6657" max="6657" width="13.5" style="5" bestFit="1" customWidth="1"/>
    <col min="6658" max="6660" width="9.875" style="5" bestFit="1" customWidth="1"/>
    <col min="6661" max="6661" width="14.5" style="5" bestFit="1" customWidth="1"/>
    <col min="6662" max="6662" width="5.625" style="5" bestFit="1" customWidth="1"/>
    <col min="6663" max="6912" width="6.875" style="5"/>
    <col min="6913" max="6913" width="13.5" style="5" bestFit="1" customWidth="1"/>
    <col min="6914" max="6916" width="9.875" style="5" bestFit="1" customWidth="1"/>
    <col min="6917" max="6917" width="14.5" style="5" bestFit="1" customWidth="1"/>
    <col min="6918" max="6918" width="5.625" style="5" bestFit="1" customWidth="1"/>
    <col min="6919" max="7168" width="6.875" style="5"/>
    <col min="7169" max="7169" width="13.5" style="5" bestFit="1" customWidth="1"/>
    <col min="7170" max="7172" width="9.875" style="5" bestFit="1" customWidth="1"/>
    <col min="7173" max="7173" width="14.5" style="5" bestFit="1" customWidth="1"/>
    <col min="7174" max="7174" width="5.625" style="5" bestFit="1" customWidth="1"/>
    <col min="7175" max="7424" width="6.875" style="5"/>
    <col min="7425" max="7425" width="13.5" style="5" bestFit="1" customWidth="1"/>
    <col min="7426" max="7428" width="9.875" style="5" bestFit="1" customWidth="1"/>
    <col min="7429" max="7429" width="14.5" style="5" bestFit="1" customWidth="1"/>
    <col min="7430" max="7430" width="5.625" style="5" bestFit="1" customWidth="1"/>
    <col min="7431" max="7680" width="6.875" style="5"/>
    <col min="7681" max="7681" width="13.5" style="5" bestFit="1" customWidth="1"/>
    <col min="7682" max="7684" width="9.875" style="5" bestFit="1" customWidth="1"/>
    <col min="7685" max="7685" width="14.5" style="5" bestFit="1" customWidth="1"/>
    <col min="7686" max="7686" width="5.625" style="5" bestFit="1" customWidth="1"/>
    <col min="7687" max="7936" width="6.875" style="5"/>
    <col min="7937" max="7937" width="13.5" style="5" bestFit="1" customWidth="1"/>
    <col min="7938" max="7940" width="9.875" style="5" bestFit="1" customWidth="1"/>
    <col min="7941" max="7941" width="14.5" style="5" bestFit="1" customWidth="1"/>
    <col min="7942" max="7942" width="5.625" style="5" bestFit="1" customWidth="1"/>
    <col min="7943" max="8192" width="6.875" style="5"/>
    <col min="8193" max="8193" width="13.5" style="5" bestFit="1" customWidth="1"/>
    <col min="8194" max="8196" width="9.875" style="5" bestFit="1" customWidth="1"/>
    <col min="8197" max="8197" width="14.5" style="5" bestFit="1" customWidth="1"/>
    <col min="8198" max="8198" width="5.625" style="5" bestFit="1" customWidth="1"/>
    <col min="8199" max="8448" width="6.875" style="5"/>
    <col min="8449" max="8449" width="13.5" style="5" bestFit="1" customWidth="1"/>
    <col min="8450" max="8452" width="9.875" style="5" bestFit="1" customWidth="1"/>
    <col min="8453" max="8453" width="14.5" style="5" bestFit="1" customWidth="1"/>
    <col min="8454" max="8454" width="5.625" style="5" bestFit="1" customWidth="1"/>
    <col min="8455" max="8704" width="6.875" style="5"/>
    <col min="8705" max="8705" width="13.5" style="5" bestFit="1" customWidth="1"/>
    <col min="8706" max="8708" width="9.875" style="5" bestFit="1" customWidth="1"/>
    <col min="8709" max="8709" width="14.5" style="5" bestFit="1" customWidth="1"/>
    <col min="8710" max="8710" width="5.625" style="5" bestFit="1" customWidth="1"/>
    <col min="8711" max="8960" width="6.875" style="5"/>
    <col min="8961" max="8961" width="13.5" style="5" bestFit="1" customWidth="1"/>
    <col min="8962" max="8964" width="9.875" style="5" bestFit="1" customWidth="1"/>
    <col min="8965" max="8965" width="14.5" style="5" bestFit="1" customWidth="1"/>
    <col min="8966" max="8966" width="5.625" style="5" bestFit="1" customWidth="1"/>
    <col min="8967" max="9216" width="6.875" style="5"/>
    <col min="9217" max="9217" width="13.5" style="5" bestFit="1" customWidth="1"/>
    <col min="9218" max="9220" width="9.875" style="5" bestFit="1" customWidth="1"/>
    <col min="9221" max="9221" width="14.5" style="5" bestFit="1" customWidth="1"/>
    <col min="9222" max="9222" width="5.625" style="5" bestFit="1" customWidth="1"/>
    <col min="9223" max="9472" width="6.875" style="5"/>
    <col min="9473" max="9473" width="13.5" style="5" bestFit="1" customWidth="1"/>
    <col min="9474" max="9476" width="9.875" style="5" bestFit="1" customWidth="1"/>
    <col min="9477" max="9477" width="14.5" style="5" bestFit="1" customWidth="1"/>
    <col min="9478" max="9478" width="5.625" style="5" bestFit="1" customWidth="1"/>
    <col min="9479" max="9728" width="6.875" style="5"/>
    <col min="9729" max="9729" width="13.5" style="5" bestFit="1" customWidth="1"/>
    <col min="9730" max="9732" width="9.875" style="5" bestFit="1" customWidth="1"/>
    <col min="9733" max="9733" width="14.5" style="5" bestFit="1" customWidth="1"/>
    <col min="9734" max="9734" width="5.625" style="5" bestFit="1" customWidth="1"/>
    <col min="9735" max="9984" width="6.875" style="5"/>
    <col min="9985" max="9985" width="13.5" style="5" bestFit="1" customWidth="1"/>
    <col min="9986" max="9988" width="9.875" style="5" bestFit="1" customWidth="1"/>
    <col min="9989" max="9989" width="14.5" style="5" bestFit="1" customWidth="1"/>
    <col min="9990" max="9990" width="5.625" style="5" bestFit="1" customWidth="1"/>
    <col min="9991" max="10240" width="6.875" style="5"/>
    <col min="10241" max="10241" width="13.5" style="5" bestFit="1" customWidth="1"/>
    <col min="10242" max="10244" width="9.875" style="5" bestFit="1" customWidth="1"/>
    <col min="10245" max="10245" width="14.5" style="5" bestFit="1" customWidth="1"/>
    <col min="10246" max="10246" width="5.625" style="5" bestFit="1" customWidth="1"/>
    <col min="10247" max="10496" width="6.875" style="5"/>
    <col min="10497" max="10497" width="13.5" style="5" bestFit="1" customWidth="1"/>
    <col min="10498" max="10500" width="9.875" style="5" bestFit="1" customWidth="1"/>
    <col min="10501" max="10501" width="14.5" style="5" bestFit="1" customWidth="1"/>
    <col min="10502" max="10502" width="5.625" style="5" bestFit="1" customWidth="1"/>
    <col min="10503" max="10752" width="6.875" style="5"/>
    <col min="10753" max="10753" width="13.5" style="5" bestFit="1" customWidth="1"/>
    <col min="10754" max="10756" width="9.875" style="5" bestFit="1" customWidth="1"/>
    <col min="10757" max="10757" width="14.5" style="5" bestFit="1" customWidth="1"/>
    <col min="10758" max="10758" width="5.625" style="5" bestFit="1" customWidth="1"/>
    <col min="10759" max="11008" width="6.875" style="5"/>
    <col min="11009" max="11009" width="13.5" style="5" bestFit="1" customWidth="1"/>
    <col min="11010" max="11012" width="9.875" style="5" bestFit="1" customWidth="1"/>
    <col min="11013" max="11013" width="14.5" style="5" bestFit="1" customWidth="1"/>
    <col min="11014" max="11014" width="5.625" style="5" bestFit="1" customWidth="1"/>
    <col min="11015" max="11264" width="6.875" style="5"/>
    <col min="11265" max="11265" width="13.5" style="5" bestFit="1" customWidth="1"/>
    <col min="11266" max="11268" width="9.875" style="5" bestFit="1" customWidth="1"/>
    <col min="11269" max="11269" width="14.5" style="5" bestFit="1" customWidth="1"/>
    <col min="11270" max="11270" width="5.625" style="5" bestFit="1" customWidth="1"/>
    <col min="11271" max="11520" width="6.875" style="5"/>
    <col min="11521" max="11521" width="13.5" style="5" bestFit="1" customWidth="1"/>
    <col min="11522" max="11524" width="9.875" style="5" bestFit="1" customWidth="1"/>
    <col min="11525" max="11525" width="14.5" style="5" bestFit="1" customWidth="1"/>
    <col min="11526" max="11526" width="5.625" style="5" bestFit="1" customWidth="1"/>
    <col min="11527" max="11776" width="6.875" style="5"/>
    <col min="11777" max="11777" width="13.5" style="5" bestFit="1" customWidth="1"/>
    <col min="11778" max="11780" width="9.875" style="5" bestFit="1" customWidth="1"/>
    <col min="11781" max="11781" width="14.5" style="5" bestFit="1" customWidth="1"/>
    <col min="11782" max="11782" width="5.625" style="5" bestFit="1" customWidth="1"/>
    <col min="11783" max="12032" width="6.875" style="5"/>
    <col min="12033" max="12033" width="13.5" style="5" bestFit="1" customWidth="1"/>
    <col min="12034" max="12036" width="9.875" style="5" bestFit="1" customWidth="1"/>
    <col min="12037" max="12037" width="14.5" style="5" bestFit="1" customWidth="1"/>
    <col min="12038" max="12038" width="5.625" style="5" bestFit="1" customWidth="1"/>
    <col min="12039" max="12288" width="6.875" style="5"/>
    <col min="12289" max="12289" width="13.5" style="5" bestFit="1" customWidth="1"/>
    <col min="12290" max="12292" width="9.875" style="5" bestFit="1" customWidth="1"/>
    <col min="12293" max="12293" width="14.5" style="5" bestFit="1" customWidth="1"/>
    <col min="12294" max="12294" width="5.625" style="5" bestFit="1" customWidth="1"/>
    <col min="12295" max="12544" width="6.875" style="5"/>
    <col min="12545" max="12545" width="13.5" style="5" bestFit="1" customWidth="1"/>
    <col min="12546" max="12548" width="9.875" style="5" bestFit="1" customWidth="1"/>
    <col min="12549" max="12549" width="14.5" style="5" bestFit="1" customWidth="1"/>
    <col min="12550" max="12550" width="5.625" style="5" bestFit="1" customWidth="1"/>
    <col min="12551" max="12800" width="6.875" style="5"/>
    <col min="12801" max="12801" width="13.5" style="5" bestFit="1" customWidth="1"/>
    <col min="12802" max="12804" width="9.875" style="5" bestFit="1" customWidth="1"/>
    <col min="12805" max="12805" width="14.5" style="5" bestFit="1" customWidth="1"/>
    <col min="12806" max="12806" width="5.625" style="5" bestFit="1" customWidth="1"/>
    <col min="12807" max="13056" width="6.875" style="5"/>
    <col min="13057" max="13057" width="13.5" style="5" bestFit="1" customWidth="1"/>
    <col min="13058" max="13060" width="9.875" style="5" bestFit="1" customWidth="1"/>
    <col min="13061" max="13061" width="14.5" style="5" bestFit="1" customWidth="1"/>
    <col min="13062" max="13062" width="5.625" style="5" bestFit="1" customWidth="1"/>
    <col min="13063" max="13312" width="6.875" style="5"/>
    <col min="13313" max="13313" width="13.5" style="5" bestFit="1" customWidth="1"/>
    <col min="13314" max="13316" width="9.875" style="5" bestFit="1" customWidth="1"/>
    <col min="13317" max="13317" width="14.5" style="5" bestFit="1" customWidth="1"/>
    <col min="13318" max="13318" width="5.625" style="5" bestFit="1" customWidth="1"/>
    <col min="13319" max="13568" width="6.875" style="5"/>
    <col min="13569" max="13569" width="13.5" style="5" bestFit="1" customWidth="1"/>
    <col min="13570" max="13572" width="9.875" style="5" bestFit="1" customWidth="1"/>
    <col min="13573" max="13573" width="14.5" style="5" bestFit="1" customWidth="1"/>
    <col min="13574" max="13574" width="5.625" style="5" bestFit="1" customWidth="1"/>
    <col min="13575" max="13824" width="6.875" style="5"/>
    <col min="13825" max="13825" width="13.5" style="5" bestFit="1" customWidth="1"/>
    <col min="13826" max="13828" width="9.875" style="5" bestFit="1" customWidth="1"/>
    <col min="13829" max="13829" width="14.5" style="5" bestFit="1" customWidth="1"/>
    <col min="13830" max="13830" width="5.625" style="5" bestFit="1" customWidth="1"/>
    <col min="13831" max="14080" width="6.875" style="5"/>
    <col min="14081" max="14081" width="13.5" style="5" bestFit="1" customWidth="1"/>
    <col min="14082" max="14084" width="9.875" style="5" bestFit="1" customWidth="1"/>
    <col min="14085" max="14085" width="14.5" style="5" bestFit="1" customWidth="1"/>
    <col min="14086" max="14086" width="5.625" style="5" bestFit="1" customWidth="1"/>
    <col min="14087" max="14336" width="6.875" style="5"/>
    <col min="14337" max="14337" width="13.5" style="5" bestFit="1" customWidth="1"/>
    <col min="14338" max="14340" width="9.875" style="5" bestFit="1" customWidth="1"/>
    <col min="14341" max="14341" width="14.5" style="5" bestFit="1" customWidth="1"/>
    <col min="14342" max="14342" width="5.625" style="5" bestFit="1" customWidth="1"/>
    <col min="14343" max="14592" width="6.875" style="5"/>
    <col min="14593" max="14593" width="13.5" style="5" bestFit="1" customWidth="1"/>
    <col min="14594" max="14596" width="9.875" style="5" bestFit="1" customWidth="1"/>
    <col min="14597" max="14597" width="14.5" style="5" bestFit="1" customWidth="1"/>
    <col min="14598" max="14598" width="5.625" style="5" bestFit="1" customWidth="1"/>
    <col min="14599" max="14848" width="6.875" style="5"/>
    <col min="14849" max="14849" width="13.5" style="5" bestFit="1" customWidth="1"/>
    <col min="14850" max="14852" width="9.875" style="5" bestFit="1" customWidth="1"/>
    <col min="14853" max="14853" width="14.5" style="5" bestFit="1" customWidth="1"/>
    <col min="14854" max="14854" width="5.625" style="5" bestFit="1" customWidth="1"/>
    <col min="14855" max="15104" width="6.875" style="5"/>
    <col min="15105" max="15105" width="13.5" style="5" bestFit="1" customWidth="1"/>
    <col min="15106" max="15108" width="9.875" style="5" bestFit="1" customWidth="1"/>
    <col min="15109" max="15109" width="14.5" style="5" bestFit="1" customWidth="1"/>
    <col min="15110" max="15110" width="5.625" style="5" bestFit="1" customWidth="1"/>
    <col min="15111" max="15360" width="6.875" style="5"/>
    <col min="15361" max="15361" width="13.5" style="5" bestFit="1" customWidth="1"/>
    <col min="15362" max="15364" width="9.875" style="5" bestFit="1" customWidth="1"/>
    <col min="15365" max="15365" width="14.5" style="5" bestFit="1" customWidth="1"/>
    <col min="15366" max="15366" width="5.625" style="5" bestFit="1" customWidth="1"/>
    <col min="15367" max="15616" width="6.875" style="5"/>
    <col min="15617" max="15617" width="13.5" style="5" bestFit="1" customWidth="1"/>
    <col min="15618" max="15620" width="9.875" style="5" bestFit="1" customWidth="1"/>
    <col min="15621" max="15621" width="14.5" style="5" bestFit="1" customWidth="1"/>
    <col min="15622" max="15622" width="5.625" style="5" bestFit="1" customWidth="1"/>
    <col min="15623" max="15872" width="6.875" style="5"/>
    <col min="15873" max="15873" width="13.5" style="5" bestFit="1" customWidth="1"/>
    <col min="15874" max="15876" width="9.875" style="5" bestFit="1" customWidth="1"/>
    <col min="15877" max="15877" width="14.5" style="5" bestFit="1" customWidth="1"/>
    <col min="15878" max="15878" width="5.625" style="5" bestFit="1" customWidth="1"/>
    <col min="15879" max="16128" width="6.875" style="5"/>
    <col min="16129" max="16129" width="13.5" style="5" bestFit="1" customWidth="1"/>
    <col min="16130" max="16132" width="9.875" style="5" bestFit="1" customWidth="1"/>
    <col min="16133" max="16133" width="14.5" style="5" bestFit="1" customWidth="1"/>
    <col min="16134" max="16134" width="5.625" style="5" bestFit="1" customWidth="1"/>
    <col min="16135" max="16384" width="6.875" style="5"/>
  </cols>
  <sheetData>
    <row r="1" spans="1:6" ht="16.5">
      <c r="A1" s="2" t="s">
        <v>3619</v>
      </c>
      <c r="B1" s="3" t="s">
        <v>3620</v>
      </c>
      <c r="C1" s="3" t="s">
        <v>3621</v>
      </c>
      <c r="D1" s="3" t="s">
        <v>3622</v>
      </c>
      <c r="E1" s="4" t="s">
        <v>3624</v>
      </c>
      <c r="F1" s="3" t="s">
        <v>3623</v>
      </c>
    </row>
    <row r="2" spans="1:6" ht="16.5">
      <c r="A2" s="6" t="s">
        <v>3625</v>
      </c>
      <c r="B2" s="7">
        <v>715</v>
      </c>
      <c r="C2" s="7">
        <v>110</v>
      </c>
      <c r="D2" s="7">
        <v>79</v>
      </c>
      <c r="E2" s="8">
        <v>105</v>
      </c>
      <c r="F2" s="8">
        <v>569</v>
      </c>
    </row>
    <row r="3" spans="1:6" ht="16.5">
      <c r="A3" s="6" t="s">
        <v>3626</v>
      </c>
      <c r="B3" s="7">
        <v>2</v>
      </c>
      <c r="C3" s="7">
        <v>42</v>
      </c>
      <c r="D3" s="7">
        <v>2</v>
      </c>
      <c r="E3" s="8">
        <v>3</v>
      </c>
      <c r="F3" s="8">
        <v>0</v>
      </c>
    </row>
    <row r="4" spans="1:6" ht="16.5">
      <c r="A4" s="6" t="s">
        <v>3627</v>
      </c>
      <c r="B4" s="7">
        <f>SUM(B2:B3)</f>
        <v>717</v>
      </c>
      <c r="C4" s="7">
        <f>SUM(C2:C3)</f>
        <v>152</v>
      </c>
      <c r="D4" s="7">
        <f>SUM(D2:D3)</f>
        <v>81</v>
      </c>
      <c r="E4" s="8">
        <f>SUM(E2:E3)</f>
        <v>108</v>
      </c>
      <c r="F4" s="8">
        <f>SUM(F2:F3)</f>
        <v>569</v>
      </c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8"/>
  <sheetViews>
    <sheetView topLeftCell="A695" workbookViewId="0">
      <selection activeCell="A718" sqref="A717:A718"/>
    </sheetView>
  </sheetViews>
  <sheetFormatPr defaultRowHeight="16.5"/>
  <cols>
    <col min="1" max="1" width="9.875" style="1" bestFit="1" customWidth="1"/>
    <col min="2" max="2" width="47.125" style="1" customWidth="1"/>
    <col min="3" max="3" width="24.75" style="1" customWidth="1"/>
    <col min="4" max="5" width="22" style="1" customWidth="1"/>
    <col min="6" max="6" width="18.875" style="1" hidden="1" customWidth="1"/>
    <col min="7" max="7" width="11.875" style="1" customWidth="1"/>
    <col min="8" max="8" width="23.875" style="1" customWidth="1"/>
    <col min="9" max="9" width="21.125" style="1" bestFit="1" customWidth="1"/>
    <col min="10" max="16384" width="9" style="1"/>
  </cols>
  <sheetData>
    <row r="1" spans="1:9" s="12" customFormat="1">
      <c r="A1" s="12" t="s">
        <v>640</v>
      </c>
      <c r="B1" s="12" t="s">
        <v>0</v>
      </c>
      <c r="C1" s="12" t="s">
        <v>641</v>
      </c>
      <c r="D1" s="12" t="s">
        <v>642</v>
      </c>
      <c r="E1" s="12" t="s">
        <v>1</v>
      </c>
      <c r="F1" s="12" t="s">
        <v>3468</v>
      </c>
      <c r="G1" s="12" t="s">
        <v>643</v>
      </c>
      <c r="H1" s="12" t="s">
        <v>644</v>
      </c>
      <c r="I1" s="12" t="s">
        <v>645</v>
      </c>
    </row>
    <row r="2" spans="1:9">
      <c r="A2" s="1" t="s">
        <v>1559</v>
      </c>
      <c r="B2" s="1" t="s">
        <v>240</v>
      </c>
      <c r="C2" s="1" t="s">
        <v>1560</v>
      </c>
      <c r="D2" s="1" t="s">
        <v>1463</v>
      </c>
      <c r="E2" s="1" t="s">
        <v>1561</v>
      </c>
      <c r="F2" s="1" t="s">
        <v>3469</v>
      </c>
      <c r="G2" s="1" t="s">
        <v>1074</v>
      </c>
      <c r="H2" s="1" t="s">
        <v>651</v>
      </c>
      <c r="I2" s="1" t="s">
        <v>1555</v>
      </c>
    </row>
    <row r="3" spans="1:9">
      <c r="A3" s="1" t="s">
        <v>2155</v>
      </c>
      <c r="B3" s="1" t="s">
        <v>405</v>
      </c>
      <c r="C3" s="1" t="s">
        <v>1560</v>
      </c>
      <c r="D3" s="1" t="s">
        <v>2156</v>
      </c>
      <c r="E3" s="1" t="s">
        <v>2157</v>
      </c>
      <c r="F3" s="1" t="s">
        <v>3469</v>
      </c>
      <c r="G3" s="1" t="s">
        <v>738</v>
      </c>
      <c r="H3" s="1" t="s">
        <v>651</v>
      </c>
    </row>
    <row r="4" spans="1:9">
      <c r="A4" s="1" t="s">
        <v>3013</v>
      </c>
      <c r="B4" s="1" t="s">
        <v>634</v>
      </c>
      <c r="C4" s="1" t="s">
        <v>3014</v>
      </c>
      <c r="D4" s="1" t="s">
        <v>918</v>
      </c>
      <c r="E4" s="1" t="s">
        <v>3015</v>
      </c>
      <c r="F4" s="1" t="s">
        <v>3470</v>
      </c>
      <c r="G4" s="1" t="s">
        <v>3016</v>
      </c>
      <c r="H4" s="1" t="s">
        <v>651</v>
      </c>
      <c r="I4" s="1" t="s">
        <v>691</v>
      </c>
    </row>
    <row r="5" spans="1:9">
      <c r="A5" s="1" t="s">
        <v>1332</v>
      </c>
      <c r="B5" s="1" t="s">
        <v>181</v>
      </c>
      <c r="C5" s="1" t="s">
        <v>1333</v>
      </c>
      <c r="D5" s="1" t="s">
        <v>719</v>
      </c>
      <c r="E5" s="1" t="s">
        <v>1334</v>
      </c>
      <c r="F5" s="1" t="s">
        <v>3469</v>
      </c>
      <c r="G5" s="1" t="s">
        <v>650</v>
      </c>
      <c r="H5" s="1" t="s">
        <v>651</v>
      </c>
    </row>
    <row r="6" spans="1:9">
      <c r="A6" s="1" t="s">
        <v>1417</v>
      </c>
      <c r="B6" s="1" t="s">
        <v>205</v>
      </c>
      <c r="C6" s="1" t="s">
        <v>1418</v>
      </c>
      <c r="D6" s="1" t="s">
        <v>1419</v>
      </c>
      <c r="E6" s="1" t="s">
        <v>1420</v>
      </c>
      <c r="F6" s="1" t="s">
        <v>3469</v>
      </c>
      <c r="G6" s="1" t="s">
        <v>690</v>
      </c>
      <c r="H6" s="1" t="s">
        <v>651</v>
      </c>
      <c r="I6" s="1" t="s">
        <v>691</v>
      </c>
    </row>
    <row r="7" spans="1:9">
      <c r="A7" s="1" t="s">
        <v>1770</v>
      </c>
      <c r="B7" s="1" t="s">
        <v>298</v>
      </c>
      <c r="C7" s="1" t="s">
        <v>1771</v>
      </c>
      <c r="D7" s="1" t="s">
        <v>983</v>
      </c>
      <c r="E7" s="1" t="s">
        <v>1772</v>
      </c>
      <c r="F7" s="1" t="s">
        <v>3469</v>
      </c>
      <c r="G7" s="1" t="s">
        <v>680</v>
      </c>
      <c r="H7" s="1" t="s">
        <v>651</v>
      </c>
      <c r="I7" s="1" t="s">
        <v>691</v>
      </c>
    </row>
    <row r="8" spans="1:9">
      <c r="A8" s="1" t="s">
        <v>2235</v>
      </c>
      <c r="B8" s="1" t="s">
        <v>429</v>
      </c>
      <c r="C8" s="1" t="s">
        <v>669</v>
      </c>
      <c r="D8" s="1" t="s">
        <v>2236</v>
      </c>
      <c r="E8" s="1" t="s">
        <v>2237</v>
      </c>
      <c r="F8" s="1" t="s">
        <v>3471</v>
      </c>
      <c r="G8" s="1" t="s">
        <v>2238</v>
      </c>
      <c r="H8" s="1" t="s">
        <v>651</v>
      </c>
      <c r="I8" s="1" t="s">
        <v>691</v>
      </c>
    </row>
    <row r="9" spans="1:9">
      <c r="A9" s="1" t="s">
        <v>2413</v>
      </c>
      <c r="B9" s="1" t="s">
        <v>474</v>
      </c>
      <c r="C9" s="1" t="s">
        <v>2414</v>
      </c>
      <c r="D9" s="1" t="s">
        <v>2415</v>
      </c>
      <c r="E9" s="1" t="s">
        <v>2416</v>
      </c>
      <c r="F9" s="1" t="s">
        <v>3472</v>
      </c>
      <c r="G9" s="1" t="s">
        <v>2238</v>
      </c>
      <c r="H9" s="1" t="s">
        <v>651</v>
      </c>
      <c r="I9" s="1" t="s">
        <v>691</v>
      </c>
    </row>
    <row r="10" spans="1:9">
      <c r="A10" s="1" t="s">
        <v>909</v>
      </c>
      <c r="B10" s="1" t="s">
        <v>64</v>
      </c>
      <c r="C10" s="1" t="s">
        <v>910</v>
      </c>
      <c r="D10" s="1" t="s">
        <v>911</v>
      </c>
      <c r="E10" s="1" t="s">
        <v>912</v>
      </c>
      <c r="F10" s="1" t="s">
        <v>3469</v>
      </c>
      <c r="G10" s="1" t="s">
        <v>662</v>
      </c>
      <c r="H10" s="1" t="s">
        <v>651</v>
      </c>
      <c r="I10" s="1" t="s">
        <v>691</v>
      </c>
    </row>
    <row r="11" spans="1:9">
      <c r="A11" s="1" t="s">
        <v>897</v>
      </c>
      <c r="B11" s="1" t="s">
        <v>61</v>
      </c>
      <c r="C11" s="1" t="s">
        <v>898</v>
      </c>
      <c r="D11" s="1" t="s">
        <v>899</v>
      </c>
      <c r="E11" s="1" t="s">
        <v>900</v>
      </c>
      <c r="F11" s="1" t="s">
        <v>3469</v>
      </c>
      <c r="G11" s="1" t="s">
        <v>680</v>
      </c>
      <c r="H11" s="1" t="s">
        <v>651</v>
      </c>
      <c r="I11" s="1" t="s">
        <v>691</v>
      </c>
    </row>
    <row r="12" spans="1:9">
      <c r="A12" s="1" t="s">
        <v>2163</v>
      </c>
      <c r="B12" s="1" t="s">
        <v>408</v>
      </c>
      <c r="C12" s="1" t="s">
        <v>2164</v>
      </c>
      <c r="D12" s="1" t="s">
        <v>719</v>
      </c>
      <c r="E12" s="1" t="s">
        <v>2165</v>
      </c>
      <c r="F12" s="1" t="s">
        <v>3469</v>
      </c>
      <c r="G12" s="1" t="s">
        <v>837</v>
      </c>
      <c r="H12" s="1" t="s">
        <v>651</v>
      </c>
      <c r="I12" s="1" t="s">
        <v>691</v>
      </c>
    </row>
    <row r="13" spans="1:9">
      <c r="A13" s="1" t="s">
        <v>2753</v>
      </c>
      <c r="B13" s="1" t="s">
        <v>566</v>
      </c>
      <c r="C13" s="1" t="s">
        <v>2754</v>
      </c>
      <c r="D13" s="1" t="s">
        <v>1810</v>
      </c>
      <c r="E13" s="1" t="s">
        <v>2755</v>
      </c>
      <c r="F13" s="1" t="s">
        <v>3469</v>
      </c>
      <c r="G13" s="1" t="s">
        <v>2436</v>
      </c>
      <c r="H13" s="1" t="s">
        <v>651</v>
      </c>
    </row>
    <row r="14" spans="1:9">
      <c r="A14" s="1" t="s">
        <v>1941</v>
      </c>
      <c r="B14" s="1" t="s">
        <v>346</v>
      </c>
      <c r="C14" s="1" t="s">
        <v>1942</v>
      </c>
      <c r="D14" s="1" t="s">
        <v>1943</v>
      </c>
      <c r="E14" s="1" t="s">
        <v>1944</v>
      </c>
      <c r="F14" s="1" t="s">
        <v>3469</v>
      </c>
      <c r="G14" s="1" t="s">
        <v>889</v>
      </c>
      <c r="H14" s="1" t="s">
        <v>651</v>
      </c>
    </row>
    <row r="15" spans="1:9">
      <c r="A15" s="1" t="s">
        <v>2334</v>
      </c>
      <c r="B15" s="1" t="s">
        <v>450</v>
      </c>
      <c r="C15" s="1" t="s">
        <v>2335</v>
      </c>
      <c r="D15" s="1" t="s">
        <v>1856</v>
      </c>
      <c r="E15" s="1" t="s">
        <v>2336</v>
      </c>
      <c r="F15" s="1" t="s">
        <v>3469</v>
      </c>
      <c r="G15" s="1" t="s">
        <v>690</v>
      </c>
      <c r="H15" s="1" t="s">
        <v>651</v>
      </c>
    </row>
    <row r="16" spans="1:9">
      <c r="A16" s="1" t="s">
        <v>850</v>
      </c>
      <c r="B16" s="1" t="s">
        <v>48</v>
      </c>
      <c r="C16" s="1" t="s">
        <v>851</v>
      </c>
      <c r="D16" s="1" t="s">
        <v>852</v>
      </c>
      <c r="E16" s="1" t="s">
        <v>853</v>
      </c>
      <c r="F16" s="1" t="s">
        <v>3469</v>
      </c>
      <c r="G16" s="1" t="s">
        <v>657</v>
      </c>
      <c r="H16" s="1" t="s">
        <v>651</v>
      </c>
      <c r="I16" s="1" t="s">
        <v>691</v>
      </c>
    </row>
    <row r="17" spans="1:9">
      <c r="A17" s="1" t="s">
        <v>1660</v>
      </c>
      <c r="B17" s="1" t="s">
        <v>267</v>
      </c>
      <c r="C17" s="1" t="s">
        <v>1661</v>
      </c>
      <c r="D17" s="1" t="s">
        <v>1258</v>
      </c>
      <c r="E17" s="1" t="s">
        <v>1662</v>
      </c>
      <c r="F17" s="1" t="s">
        <v>3469</v>
      </c>
      <c r="G17" s="1" t="s">
        <v>685</v>
      </c>
      <c r="H17" s="1" t="s">
        <v>651</v>
      </c>
    </row>
    <row r="18" spans="1:9">
      <c r="A18" s="1" t="s">
        <v>2377</v>
      </c>
      <c r="B18" s="1" t="s">
        <v>463</v>
      </c>
      <c r="C18" s="1" t="s">
        <v>2378</v>
      </c>
      <c r="D18" s="1" t="s">
        <v>719</v>
      </c>
      <c r="E18" s="1" t="s">
        <v>2379</v>
      </c>
      <c r="F18" s="1" t="s">
        <v>3469</v>
      </c>
      <c r="G18" s="1" t="s">
        <v>690</v>
      </c>
      <c r="H18" s="1" t="s">
        <v>651</v>
      </c>
      <c r="I18" s="1" t="s">
        <v>2380</v>
      </c>
    </row>
    <row r="19" spans="1:9">
      <c r="A19" s="1" t="s">
        <v>2637</v>
      </c>
      <c r="B19" s="1" t="s">
        <v>536</v>
      </c>
      <c r="C19" s="1" t="s">
        <v>2638</v>
      </c>
      <c r="D19" s="1" t="s">
        <v>2219</v>
      </c>
      <c r="E19" s="1" t="s">
        <v>2639</v>
      </c>
      <c r="F19" s="1" t="s">
        <v>3473</v>
      </c>
      <c r="G19" s="1" t="s">
        <v>2568</v>
      </c>
      <c r="H19" s="1" t="s">
        <v>651</v>
      </c>
      <c r="I19" s="1" t="s">
        <v>2458</v>
      </c>
    </row>
    <row r="20" spans="1:9">
      <c r="A20" s="1" t="s">
        <v>2966</v>
      </c>
      <c r="B20" s="1" t="s">
        <v>621</v>
      </c>
      <c r="C20" s="1" t="s">
        <v>2967</v>
      </c>
      <c r="D20" s="1" t="s">
        <v>2968</v>
      </c>
      <c r="E20" s="1" t="s">
        <v>2969</v>
      </c>
      <c r="F20" s="1" t="s">
        <v>3474</v>
      </c>
      <c r="G20" s="1" t="s">
        <v>2914</v>
      </c>
      <c r="H20" s="1" t="s">
        <v>651</v>
      </c>
      <c r="I20" s="1" t="s">
        <v>691</v>
      </c>
    </row>
    <row r="21" spans="1:9">
      <c r="A21" s="1" t="s">
        <v>2270</v>
      </c>
      <c r="B21" s="1" t="s">
        <v>437</v>
      </c>
      <c r="C21" s="1" t="s">
        <v>2271</v>
      </c>
      <c r="D21" s="1" t="s">
        <v>1722</v>
      </c>
      <c r="E21" s="1" t="s">
        <v>2272</v>
      </c>
      <c r="F21" s="1" t="s">
        <v>3469</v>
      </c>
      <c r="G21" s="1" t="s">
        <v>690</v>
      </c>
      <c r="H21" s="1" t="s">
        <v>651</v>
      </c>
    </row>
    <row r="22" spans="1:9">
      <c r="A22" s="1" t="s">
        <v>2326</v>
      </c>
      <c r="B22" s="1" t="s">
        <v>437</v>
      </c>
      <c r="C22" s="1" t="s">
        <v>2271</v>
      </c>
      <c r="D22" s="1" t="s">
        <v>1722</v>
      </c>
      <c r="E22" s="1" t="s">
        <v>2327</v>
      </c>
      <c r="F22" s="1" t="s">
        <v>3469</v>
      </c>
      <c r="G22" s="1" t="s">
        <v>690</v>
      </c>
      <c r="H22" s="1" t="s">
        <v>651</v>
      </c>
    </row>
    <row r="23" spans="1:9">
      <c r="A23" s="1" t="s">
        <v>2576</v>
      </c>
      <c r="B23" s="1" t="s">
        <v>519</v>
      </c>
      <c r="C23" s="1" t="s">
        <v>2577</v>
      </c>
      <c r="D23" s="1" t="s">
        <v>2578</v>
      </c>
      <c r="E23" s="1" t="s">
        <v>2579</v>
      </c>
      <c r="F23" s="1" t="s">
        <v>3475</v>
      </c>
      <c r="G23" s="1" t="s">
        <v>2488</v>
      </c>
      <c r="H23" s="1" t="s">
        <v>651</v>
      </c>
      <c r="I23" s="1" t="s">
        <v>691</v>
      </c>
    </row>
    <row r="24" spans="1:9">
      <c r="A24" s="1" t="s">
        <v>3476</v>
      </c>
      <c r="B24" s="1" t="s">
        <v>632</v>
      </c>
      <c r="C24" s="1" t="s">
        <v>3005</v>
      </c>
      <c r="D24" s="1" t="s">
        <v>3006</v>
      </c>
      <c r="E24" s="1" t="s">
        <v>3007</v>
      </c>
      <c r="F24" s="1" t="s">
        <v>3477</v>
      </c>
      <c r="G24" s="1" t="s">
        <v>2740</v>
      </c>
      <c r="H24" s="1" t="s">
        <v>651</v>
      </c>
      <c r="I24" s="1" t="s">
        <v>691</v>
      </c>
    </row>
    <row r="25" spans="1:9">
      <c r="A25" s="1" t="s">
        <v>3004</v>
      </c>
      <c r="B25" s="1" t="s">
        <v>632</v>
      </c>
      <c r="C25" s="1" t="s">
        <v>3005</v>
      </c>
      <c r="D25" s="1" t="s">
        <v>3006</v>
      </c>
      <c r="E25" s="1" t="s">
        <v>3007</v>
      </c>
      <c r="F25" s="1" t="s">
        <v>3478</v>
      </c>
      <c r="G25" s="1" t="s">
        <v>2740</v>
      </c>
      <c r="H25" s="1" t="s">
        <v>651</v>
      </c>
      <c r="I25" s="1" t="s">
        <v>3008</v>
      </c>
    </row>
    <row r="26" spans="1:9">
      <c r="A26" s="1" t="s">
        <v>1346</v>
      </c>
      <c r="B26" s="1" t="s">
        <v>185</v>
      </c>
      <c r="C26" s="1" t="s">
        <v>1343</v>
      </c>
      <c r="D26" s="1" t="s">
        <v>1344</v>
      </c>
      <c r="E26" s="1" t="s">
        <v>1347</v>
      </c>
      <c r="F26" s="1" t="s">
        <v>3469</v>
      </c>
      <c r="G26" s="1" t="s">
        <v>685</v>
      </c>
      <c r="H26" s="1" t="s">
        <v>651</v>
      </c>
    </row>
    <row r="27" spans="1:9">
      <c r="A27" s="1" t="s">
        <v>1316</v>
      </c>
      <c r="B27" s="1" t="s">
        <v>177</v>
      </c>
      <c r="C27" s="1" t="s">
        <v>1149</v>
      </c>
      <c r="D27" s="1" t="s">
        <v>1317</v>
      </c>
      <c r="E27" s="1" t="s">
        <v>1318</v>
      </c>
      <c r="F27" s="1" t="s">
        <v>3469</v>
      </c>
      <c r="G27" s="1" t="s">
        <v>889</v>
      </c>
      <c r="H27" s="1" t="s">
        <v>651</v>
      </c>
    </row>
    <row r="28" spans="1:9">
      <c r="A28" s="1" t="s">
        <v>1592</v>
      </c>
      <c r="B28" s="1" t="s">
        <v>177</v>
      </c>
      <c r="C28" s="1" t="s">
        <v>1149</v>
      </c>
      <c r="D28" s="1" t="s">
        <v>1317</v>
      </c>
      <c r="E28" s="1" t="s">
        <v>1593</v>
      </c>
      <c r="F28" s="1" t="s">
        <v>3469</v>
      </c>
      <c r="G28" s="1" t="s">
        <v>650</v>
      </c>
      <c r="H28" s="1" t="s">
        <v>651</v>
      </c>
    </row>
    <row r="29" spans="1:9">
      <c r="A29" s="1" t="s">
        <v>933</v>
      </c>
      <c r="B29" s="1" t="s">
        <v>70</v>
      </c>
      <c r="C29" s="1" t="s">
        <v>934</v>
      </c>
      <c r="D29" s="1" t="s">
        <v>762</v>
      </c>
      <c r="E29" s="1" t="s">
        <v>935</v>
      </c>
      <c r="F29" s="1" t="s">
        <v>3469</v>
      </c>
      <c r="G29" s="1" t="s">
        <v>690</v>
      </c>
      <c r="H29" s="1" t="s">
        <v>651</v>
      </c>
      <c r="I29" s="1" t="s">
        <v>691</v>
      </c>
    </row>
    <row r="30" spans="1:9">
      <c r="A30" s="1" t="s">
        <v>985</v>
      </c>
      <c r="B30" s="1" t="s">
        <v>84</v>
      </c>
      <c r="C30" s="1" t="s">
        <v>986</v>
      </c>
      <c r="D30" s="1" t="s">
        <v>987</v>
      </c>
      <c r="E30" s="1" t="s">
        <v>988</v>
      </c>
      <c r="F30" s="1" t="s">
        <v>3469</v>
      </c>
      <c r="G30" s="1" t="s">
        <v>764</v>
      </c>
      <c r="H30" s="1" t="s">
        <v>651</v>
      </c>
      <c r="I30" s="1" t="s">
        <v>691</v>
      </c>
    </row>
    <row r="31" spans="1:9">
      <c r="A31" s="1" t="s">
        <v>838</v>
      </c>
      <c r="B31" s="1" t="s">
        <v>45</v>
      </c>
      <c r="C31" s="1" t="s">
        <v>839</v>
      </c>
      <c r="D31" s="1" t="s">
        <v>840</v>
      </c>
      <c r="E31" s="1" t="s">
        <v>841</v>
      </c>
      <c r="F31" s="1" t="s">
        <v>3469</v>
      </c>
      <c r="G31" s="1" t="s">
        <v>680</v>
      </c>
      <c r="H31" s="1" t="s">
        <v>651</v>
      </c>
    </row>
    <row r="32" spans="1:9">
      <c r="A32" s="1" t="s">
        <v>2028</v>
      </c>
      <c r="B32" s="1" t="s">
        <v>369</v>
      </c>
      <c r="C32" s="1" t="s">
        <v>2029</v>
      </c>
      <c r="D32" s="1" t="s">
        <v>852</v>
      </c>
      <c r="E32" s="1" t="s">
        <v>2030</v>
      </c>
      <c r="F32" s="1" t="s">
        <v>3469</v>
      </c>
      <c r="G32" s="1" t="s">
        <v>662</v>
      </c>
      <c r="H32" s="1" t="s">
        <v>651</v>
      </c>
      <c r="I32" s="1" t="s">
        <v>691</v>
      </c>
    </row>
    <row r="33" spans="1:9">
      <c r="A33" s="1" t="s">
        <v>1549</v>
      </c>
      <c r="B33" s="1" t="s">
        <v>237</v>
      </c>
      <c r="C33" s="1" t="s">
        <v>1550</v>
      </c>
      <c r="D33" s="1" t="s">
        <v>780</v>
      </c>
      <c r="E33" s="1" t="s">
        <v>1551</v>
      </c>
      <c r="F33" s="1" t="s">
        <v>3469</v>
      </c>
      <c r="G33" s="1" t="s">
        <v>650</v>
      </c>
      <c r="H33" s="1" t="s">
        <v>651</v>
      </c>
      <c r="I33" s="1" t="s">
        <v>822</v>
      </c>
    </row>
    <row r="34" spans="1:9">
      <c r="A34" s="1" t="s">
        <v>1256</v>
      </c>
      <c r="B34" s="1" t="s">
        <v>161</v>
      </c>
      <c r="C34" s="1" t="s">
        <v>1257</v>
      </c>
      <c r="D34" s="1" t="s">
        <v>1258</v>
      </c>
      <c r="E34" s="1" t="s">
        <v>1259</v>
      </c>
      <c r="F34" s="1" t="s">
        <v>3469</v>
      </c>
      <c r="G34" s="1" t="s">
        <v>1074</v>
      </c>
      <c r="H34" s="1" t="s">
        <v>651</v>
      </c>
    </row>
    <row r="35" spans="1:9">
      <c r="A35" s="1" t="s">
        <v>2158</v>
      </c>
      <c r="B35" s="1" t="s">
        <v>406</v>
      </c>
      <c r="C35" s="1" t="s">
        <v>2159</v>
      </c>
      <c r="D35" s="1" t="s">
        <v>665</v>
      </c>
      <c r="E35" s="1" t="s">
        <v>2160</v>
      </c>
      <c r="F35" s="1" t="s">
        <v>3469</v>
      </c>
      <c r="G35" s="1" t="s">
        <v>662</v>
      </c>
      <c r="H35" s="1" t="s">
        <v>651</v>
      </c>
    </row>
    <row r="36" spans="1:9">
      <c r="A36" s="1" t="s">
        <v>1751</v>
      </c>
      <c r="B36" s="1" t="s">
        <v>292</v>
      </c>
      <c r="C36" s="1" t="s">
        <v>1752</v>
      </c>
      <c r="D36" s="1" t="s">
        <v>1753</v>
      </c>
      <c r="E36" s="1" t="s">
        <v>1754</v>
      </c>
      <c r="F36" s="1" t="s">
        <v>3469</v>
      </c>
      <c r="G36" s="1" t="s">
        <v>680</v>
      </c>
      <c r="H36" s="1" t="s">
        <v>651</v>
      </c>
    </row>
    <row r="37" spans="1:9">
      <c r="A37" s="1" t="s">
        <v>2320</v>
      </c>
      <c r="B37" s="1" t="s">
        <v>292</v>
      </c>
      <c r="C37" s="1" t="s">
        <v>1752</v>
      </c>
      <c r="D37" s="1" t="s">
        <v>1753</v>
      </c>
      <c r="E37" s="1" t="s">
        <v>2321</v>
      </c>
      <c r="F37" s="1" t="s">
        <v>3469</v>
      </c>
      <c r="G37" s="1" t="s">
        <v>680</v>
      </c>
      <c r="H37" s="1" t="s">
        <v>651</v>
      </c>
    </row>
    <row r="38" spans="1:9">
      <c r="A38" s="1" t="s">
        <v>1253</v>
      </c>
      <c r="B38" s="1" t="s">
        <v>160</v>
      </c>
      <c r="C38" s="1" t="s">
        <v>1254</v>
      </c>
      <c r="D38" s="1" t="s">
        <v>1122</v>
      </c>
      <c r="E38" s="1" t="s">
        <v>1255</v>
      </c>
      <c r="F38" s="1" t="s">
        <v>3469</v>
      </c>
      <c r="G38" s="1" t="s">
        <v>650</v>
      </c>
      <c r="H38" s="1" t="s">
        <v>651</v>
      </c>
    </row>
    <row r="39" spans="1:9">
      <c r="A39" s="1" t="s">
        <v>2128</v>
      </c>
      <c r="B39" s="1" t="s">
        <v>397</v>
      </c>
      <c r="C39" s="1" t="s">
        <v>2129</v>
      </c>
      <c r="D39" s="1" t="s">
        <v>1122</v>
      </c>
      <c r="E39" s="1" t="s">
        <v>2130</v>
      </c>
      <c r="F39" s="1" t="s">
        <v>3469</v>
      </c>
      <c r="G39" s="1" t="s">
        <v>837</v>
      </c>
      <c r="H39" s="1" t="s">
        <v>651</v>
      </c>
    </row>
    <row r="40" spans="1:9">
      <c r="A40" s="1" t="s">
        <v>1600</v>
      </c>
      <c r="B40" s="1" t="s">
        <v>251</v>
      </c>
      <c r="C40" s="1" t="s">
        <v>1601</v>
      </c>
      <c r="D40" s="1" t="s">
        <v>719</v>
      </c>
      <c r="E40" s="1" t="s">
        <v>1602</v>
      </c>
      <c r="F40" s="1" t="s">
        <v>3469</v>
      </c>
      <c r="G40" s="1" t="s">
        <v>738</v>
      </c>
      <c r="H40" s="1" t="s">
        <v>651</v>
      </c>
    </row>
    <row r="41" spans="1:9">
      <c r="A41" s="1" t="s">
        <v>2112</v>
      </c>
      <c r="B41" s="1" t="s">
        <v>303</v>
      </c>
      <c r="C41" s="1" t="s">
        <v>1787</v>
      </c>
      <c r="D41" s="1" t="s">
        <v>1788</v>
      </c>
      <c r="E41" s="1" t="s">
        <v>2113</v>
      </c>
      <c r="F41" s="1" t="s">
        <v>3469</v>
      </c>
      <c r="G41" s="1" t="s">
        <v>680</v>
      </c>
      <c r="H41" s="1" t="s">
        <v>651</v>
      </c>
      <c r="I41" s="1" t="s">
        <v>691</v>
      </c>
    </row>
    <row r="42" spans="1:9">
      <c r="A42" s="1" t="s">
        <v>1786</v>
      </c>
      <c r="B42" s="1" t="s">
        <v>303</v>
      </c>
      <c r="C42" s="1" t="s">
        <v>1787</v>
      </c>
      <c r="D42" s="1" t="s">
        <v>1788</v>
      </c>
      <c r="E42" s="1" t="s">
        <v>1789</v>
      </c>
      <c r="F42" s="1" t="s">
        <v>3469</v>
      </c>
      <c r="G42" s="1" t="s">
        <v>680</v>
      </c>
      <c r="H42" s="1" t="s">
        <v>651</v>
      </c>
      <c r="I42" s="1" t="s">
        <v>691</v>
      </c>
    </row>
    <row r="43" spans="1:9">
      <c r="A43" s="1" t="s">
        <v>1408</v>
      </c>
      <c r="B43" s="1" t="s">
        <v>202</v>
      </c>
      <c r="C43" s="1" t="s">
        <v>1409</v>
      </c>
      <c r="D43" s="1" t="s">
        <v>1258</v>
      </c>
      <c r="E43" s="1" t="s">
        <v>1410</v>
      </c>
      <c r="F43" s="1" t="s">
        <v>3469</v>
      </c>
      <c r="G43" s="1" t="s">
        <v>1074</v>
      </c>
      <c r="H43" s="1" t="s">
        <v>651</v>
      </c>
    </row>
    <row r="44" spans="1:9">
      <c r="A44" s="1" t="s">
        <v>1120</v>
      </c>
      <c r="B44" s="1" t="s">
        <v>122</v>
      </c>
      <c r="C44" s="1" t="s">
        <v>1121</v>
      </c>
      <c r="D44" s="1" t="s">
        <v>1122</v>
      </c>
      <c r="E44" s="1" t="s">
        <v>1123</v>
      </c>
      <c r="F44" s="1" t="s">
        <v>3469</v>
      </c>
      <c r="G44" s="1" t="s">
        <v>777</v>
      </c>
      <c r="H44" s="1" t="s">
        <v>651</v>
      </c>
      <c r="I44" s="1" t="s">
        <v>691</v>
      </c>
    </row>
    <row r="45" spans="1:9">
      <c r="A45" s="1" t="s">
        <v>2872</v>
      </c>
      <c r="B45" s="1" t="s">
        <v>597</v>
      </c>
      <c r="C45" s="1" t="s">
        <v>2873</v>
      </c>
      <c r="D45" s="1" t="s">
        <v>2281</v>
      </c>
      <c r="E45" s="1" t="s">
        <v>2874</v>
      </c>
      <c r="F45" s="1" t="s">
        <v>3479</v>
      </c>
      <c r="G45" s="1" t="s">
        <v>2838</v>
      </c>
      <c r="H45" s="1" t="s">
        <v>651</v>
      </c>
      <c r="I45" s="1" t="s">
        <v>691</v>
      </c>
    </row>
    <row r="46" spans="1:9">
      <c r="A46" s="1" t="s">
        <v>2454</v>
      </c>
      <c r="B46" s="1" t="s">
        <v>486</v>
      </c>
      <c r="C46" s="1" t="s">
        <v>2455</v>
      </c>
      <c r="D46" s="1" t="s">
        <v>2456</v>
      </c>
      <c r="E46" s="1" t="s">
        <v>2457</v>
      </c>
      <c r="F46" s="1" t="s">
        <v>3480</v>
      </c>
      <c r="G46" s="1" t="s">
        <v>2436</v>
      </c>
      <c r="H46" s="1" t="s">
        <v>651</v>
      </c>
      <c r="I46" s="1" t="s">
        <v>2458</v>
      </c>
    </row>
    <row r="47" spans="1:9">
      <c r="A47" s="1" t="s">
        <v>2283</v>
      </c>
      <c r="B47" s="1" t="s">
        <v>440</v>
      </c>
      <c r="C47" s="1" t="s">
        <v>669</v>
      </c>
      <c r="D47" s="1" t="s">
        <v>2284</v>
      </c>
      <c r="E47" s="1" t="s">
        <v>2285</v>
      </c>
      <c r="F47" s="1" t="s">
        <v>3469</v>
      </c>
      <c r="G47" s="1" t="s">
        <v>777</v>
      </c>
      <c r="H47" s="1" t="s">
        <v>651</v>
      </c>
    </row>
    <row r="48" spans="1:9">
      <c r="A48" s="1" t="s">
        <v>1658</v>
      </c>
      <c r="B48" s="1" t="s">
        <v>266</v>
      </c>
      <c r="C48" s="1" t="s">
        <v>851</v>
      </c>
      <c r="D48" s="1" t="s">
        <v>719</v>
      </c>
      <c r="E48" s="1" t="s">
        <v>1659</v>
      </c>
      <c r="F48" s="1" t="s">
        <v>3469</v>
      </c>
      <c r="G48" s="1" t="s">
        <v>764</v>
      </c>
      <c r="H48" s="1" t="s">
        <v>651</v>
      </c>
    </row>
    <row r="49" spans="1:9">
      <c r="A49" s="1" t="s">
        <v>3028</v>
      </c>
      <c r="B49" s="1" t="s">
        <v>638</v>
      </c>
      <c r="C49" s="1" t="s">
        <v>3029</v>
      </c>
      <c r="D49" s="1" t="s">
        <v>3030</v>
      </c>
      <c r="E49" s="1" t="s">
        <v>3031</v>
      </c>
      <c r="F49" s="1" t="s">
        <v>3470</v>
      </c>
      <c r="G49" s="1" t="s">
        <v>3016</v>
      </c>
      <c r="H49" s="1" t="s">
        <v>651</v>
      </c>
      <c r="I49" s="1" t="s">
        <v>691</v>
      </c>
    </row>
    <row r="50" spans="1:9">
      <c r="A50" s="1" t="s">
        <v>2022</v>
      </c>
      <c r="B50" s="1" t="s">
        <v>367</v>
      </c>
      <c r="C50" s="1" t="s">
        <v>2023</v>
      </c>
      <c r="D50" s="1" t="s">
        <v>1122</v>
      </c>
      <c r="E50" s="1" t="s">
        <v>2024</v>
      </c>
      <c r="F50" s="1" t="s">
        <v>3469</v>
      </c>
      <c r="G50" s="1" t="s">
        <v>662</v>
      </c>
      <c r="H50" s="1" t="s">
        <v>651</v>
      </c>
      <c r="I50" s="1" t="s">
        <v>691</v>
      </c>
    </row>
    <row r="51" spans="1:9">
      <c r="A51" s="1" t="s">
        <v>1364</v>
      </c>
      <c r="B51" s="1" t="s">
        <v>190</v>
      </c>
      <c r="C51" s="1" t="s">
        <v>1365</v>
      </c>
      <c r="D51" s="1" t="s">
        <v>1169</v>
      </c>
      <c r="E51" s="1" t="s">
        <v>1366</v>
      </c>
      <c r="F51" s="1" t="s">
        <v>3469</v>
      </c>
      <c r="G51" s="1" t="s">
        <v>817</v>
      </c>
      <c r="H51" s="1" t="s">
        <v>651</v>
      </c>
    </row>
    <row r="52" spans="1:9">
      <c r="A52" s="1" t="s">
        <v>2725</v>
      </c>
      <c r="B52" s="1" t="s">
        <v>559</v>
      </c>
      <c r="C52" s="1" t="s">
        <v>2726</v>
      </c>
      <c r="D52" s="1" t="s">
        <v>2727</v>
      </c>
      <c r="E52" s="1" t="s">
        <v>2728</v>
      </c>
      <c r="F52" s="1" t="s">
        <v>3481</v>
      </c>
      <c r="G52" s="1" t="s">
        <v>2669</v>
      </c>
      <c r="H52" s="1" t="s">
        <v>651</v>
      </c>
      <c r="I52" s="1" t="s">
        <v>2458</v>
      </c>
    </row>
    <row r="53" spans="1:9">
      <c r="A53" s="1" t="s">
        <v>2080</v>
      </c>
      <c r="B53" s="1" t="s">
        <v>382</v>
      </c>
      <c r="C53" s="1" t="s">
        <v>1916</v>
      </c>
      <c r="D53" s="1" t="s">
        <v>771</v>
      </c>
      <c r="E53" s="1" t="s">
        <v>2081</v>
      </c>
      <c r="F53" s="1" t="s">
        <v>3469</v>
      </c>
      <c r="G53" s="1" t="s">
        <v>680</v>
      </c>
      <c r="H53" s="1" t="s">
        <v>651</v>
      </c>
    </row>
    <row r="54" spans="1:9">
      <c r="A54" s="1" t="s">
        <v>2767</v>
      </c>
      <c r="B54" s="1" t="s">
        <v>570</v>
      </c>
      <c r="C54" s="1" t="s">
        <v>2768</v>
      </c>
      <c r="D54" s="1" t="s">
        <v>2769</v>
      </c>
      <c r="E54" s="1" t="s">
        <v>2770</v>
      </c>
      <c r="F54" s="1" t="s">
        <v>3482</v>
      </c>
      <c r="G54" s="1" t="s">
        <v>2740</v>
      </c>
      <c r="H54" s="1" t="s">
        <v>651</v>
      </c>
      <c r="I54" s="1" t="s">
        <v>691</v>
      </c>
    </row>
    <row r="55" spans="1:9">
      <c r="A55" s="1" t="s">
        <v>2161</v>
      </c>
      <c r="B55" s="1" t="s">
        <v>407</v>
      </c>
      <c r="C55" s="1" t="s">
        <v>744</v>
      </c>
      <c r="D55" s="1" t="s">
        <v>745</v>
      </c>
      <c r="E55" s="1" t="s">
        <v>2162</v>
      </c>
      <c r="F55" s="1" t="s">
        <v>3469</v>
      </c>
      <c r="G55" s="1" t="s">
        <v>667</v>
      </c>
      <c r="H55" s="1" t="s">
        <v>651</v>
      </c>
    </row>
    <row r="56" spans="1:9">
      <c r="A56" s="1" t="s">
        <v>2826</v>
      </c>
      <c r="B56" s="1" t="s">
        <v>585</v>
      </c>
      <c r="C56" s="1" t="s">
        <v>2827</v>
      </c>
      <c r="D56" s="1" t="s">
        <v>2828</v>
      </c>
      <c r="E56" s="1" t="s">
        <v>2829</v>
      </c>
      <c r="F56" s="1" t="s">
        <v>3477</v>
      </c>
      <c r="G56" s="1" t="s">
        <v>2740</v>
      </c>
      <c r="H56" s="1" t="s">
        <v>651</v>
      </c>
      <c r="I56" s="1" t="s">
        <v>691</v>
      </c>
    </row>
    <row r="57" spans="1:9">
      <c r="A57" s="1" t="s">
        <v>2962</v>
      </c>
      <c r="B57" s="1" t="s">
        <v>620</v>
      </c>
      <c r="C57" s="1" t="s">
        <v>2963</v>
      </c>
      <c r="D57" s="1" t="s">
        <v>2964</v>
      </c>
      <c r="E57" s="1" t="s">
        <v>2965</v>
      </c>
      <c r="F57" s="1" t="s">
        <v>3474</v>
      </c>
      <c r="G57" s="1" t="s">
        <v>2914</v>
      </c>
      <c r="H57" s="1" t="s">
        <v>651</v>
      </c>
      <c r="I57" s="1" t="s">
        <v>691</v>
      </c>
    </row>
    <row r="58" spans="1:9">
      <c r="A58" s="1" t="s">
        <v>2683</v>
      </c>
      <c r="B58" s="1" t="s">
        <v>548</v>
      </c>
      <c r="C58" s="1" t="s">
        <v>2684</v>
      </c>
      <c r="D58" s="1" t="s">
        <v>2685</v>
      </c>
      <c r="E58" s="1" t="s">
        <v>2686</v>
      </c>
      <c r="F58" s="1" t="s">
        <v>3483</v>
      </c>
      <c r="G58" s="1" t="s">
        <v>2669</v>
      </c>
      <c r="H58" s="1" t="s">
        <v>651</v>
      </c>
      <c r="I58" s="1" t="s">
        <v>691</v>
      </c>
    </row>
    <row r="59" spans="1:9">
      <c r="A59" s="1" t="s">
        <v>3484</v>
      </c>
      <c r="B59" s="1" t="s">
        <v>3485</v>
      </c>
      <c r="C59" s="1" t="s">
        <v>3486</v>
      </c>
      <c r="D59" s="1" t="s">
        <v>3487</v>
      </c>
      <c r="E59" s="1" t="s">
        <v>3488</v>
      </c>
      <c r="F59" s="1" t="s">
        <v>3489</v>
      </c>
      <c r="G59" s="1" t="s">
        <v>3016</v>
      </c>
      <c r="H59" s="1" t="s">
        <v>651</v>
      </c>
      <c r="I59" s="1" t="s">
        <v>691</v>
      </c>
    </row>
    <row r="60" spans="1:9">
      <c r="A60" s="1" t="s">
        <v>2830</v>
      </c>
      <c r="B60" s="1" t="s">
        <v>586</v>
      </c>
      <c r="C60" s="1" t="s">
        <v>2831</v>
      </c>
      <c r="D60" s="1" t="s">
        <v>2832</v>
      </c>
      <c r="E60" s="1" t="s">
        <v>2833</v>
      </c>
      <c r="F60" s="1" t="s">
        <v>3477</v>
      </c>
      <c r="G60" s="1" t="s">
        <v>2740</v>
      </c>
      <c r="H60" s="1" t="s">
        <v>651</v>
      </c>
      <c r="I60" s="1" t="s">
        <v>691</v>
      </c>
    </row>
    <row r="61" spans="1:9">
      <c r="A61" s="1" t="s">
        <v>2814</v>
      </c>
      <c r="B61" s="1" t="s">
        <v>582</v>
      </c>
      <c r="C61" s="1" t="s">
        <v>2815</v>
      </c>
      <c r="D61" s="1" t="s">
        <v>2816</v>
      </c>
      <c r="E61" s="1" t="s">
        <v>2817</v>
      </c>
      <c r="F61" s="1" t="s">
        <v>3477</v>
      </c>
      <c r="G61" s="1" t="s">
        <v>2740</v>
      </c>
      <c r="H61" s="1" t="s">
        <v>651</v>
      </c>
      <c r="I61" s="1" t="s">
        <v>2458</v>
      </c>
    </row>
    <row r="62" spans="1:9">
      <c r="A62" s="1" t="s">
        <v>1733</v>
      </c>
      <c r="B62" s="1" t="s">
        <v>141</v>
      </c>
      <c r="C62" s="1" t="s">
        <v>1187</v>
      </c>
      <c r="D62" s="1" t="s">
        <v>1188</v>
      </c>
      <c r="E62" s="1" t="s">
        <v>1734</v>
      </c>
      <c r="F62" s="1" t="s">
        <v>3469</v>
      </c>
      <c r="G62" s="1" t="s">
        <v>729</v>
      </c>
      <c r="H62" s="1" t="s">
        <v>651</v>
      </c>
    </row>
    <row r="63" spans="1:9">
      <c r="A63" s="1" t="s">
        <v>1186</v>
      </c>
      <c r="B63" s="1" t="s">
        <v>141</v>
      </c>
      <c r="C63" s="1" t="s">
        <v>1187</v>
      </c>
      <c r="D63" s="1" t="s">
        <v>1188</v>
      </c>
      <c r="E63" s="1" t="s">
        <v>1189</v>
      </c>
      <c r="F63" s="1" t="s">
        <v>3469</v>
      </c>
      <c r="G63" s="1" t="s">
        <v>729</v>
      </c>
      <c r="H63" s="1" t="s">
        <v>651</v>
      </c>
    </row>
    <row r="64" spans="1:9">
      <c r="A64" s="1" t="s">
        <v>1264</v>
      </c>
      <c r="B64" s="1" t="s">
        <v>163</v>
      </c>
      <c r="C64" s="1" t="s">
        <v>1265</v>
      </c>
      <c r="D64" s="1" t="s">
        <v>1266</v>
      </c>
      <c r="E64" s="1" t="s">
        <v>1267</v>
      </c>
      <c r="F64" s="1" t="s">
        <v>3469</v>
      </c>
      <c r="G64" s="1" t="s">
        <v>764</v>
      </c>
      <c r="H64" s="1" t="s">
        <v>651</v>
      </c>
    </row>
    <row r="65" spans="1:9">
      <c r="A65" s="1" t="s">
        <v>1286</v>
      </c>
      <c r="B65" s="1" t="s">
        <v>169</v>
      </c>
      <c r="C65" s="1" t="s">
        <v>1287</v>
      </c>
      <c r="D65" s="1" t="s">
        <v>1288</v>
      </c>
      <c r="E65" s="1" t="s">
        <v>1289</v>
      </c>
      <c r="F65" s="1" t="s">
        <v>3469</v>
      </c>
      <c r="G65" s="1" t="s">
        <v>738</v>
      </c>
      <c r="H65" s="1" t="s">
        <v>651</v>
      </c>
    </row>
    <row r="66" spans="1:9">
      <c r="A66" s="1" t="s">
        <v>1626</v>
      </c>
      <c r="B66" s="1" t="s">
        <v>258</v>
      </c>
      <c r="C66" s="1" t="s">
        <v>1627</v>
      </c>
      <c r="D66" s="1" t="s">
        <v>1270</v>
      </c>
      <c r="E66" s="1" t="s">
        <v>1628</v>
      </c>
      <c r="F66" s="1" t="s">
        <v>3469</v>
      </c>
      <c r="G66" s="1" t="s">
        <v>738</v>
      </c>
      <c r="H66" s="1" t="s">
        <v>651</v>
      </c>
    </row>
    <row r="67" spans="1:9">
      <c r="A67" s="1" t="s">
        <v>2228</v>
      </c>
      <c r="B67" s="1" t="s">
        <v>427</v>
      </c>
      <c r="C67" s="1" t="s">
        <v>2229</v>
      </c>
      <c r="D67" s="1" t="s">
        <v>2230</v>
      </c>
      <c r="E67" s="1" t="s">
        <v>2231</v>
      </c>
      <c r="F67" s="1" t="s">
        <v>3469</v>
      </c>
      <c r="G67" s="1" t="s">
        <v>690</v>
      </c>
      <c r="H67" s="1" t="s">
        <v>651</v>
      </c>
    </row>
    <row r="68" spans="1:9">
      <c r="A68" s="1" t="s">
        <v>2144</v>
      </c>
      <c r="B68" s="1" t="s">
        <v>402</v>
      </c>
      <c r="C68" s="1" t="s">
        <v>2145</v>
      </c>
      <c r="D68" s="1" t="s">
        <v>2146</v>
      </c>
      <c r="E68" s="1" t="s">
        <v>2147</v>
      </c>
      <c r="F68" s="1" t="s">
        <v>3469</v>
      </c>
      <c r="G68" s="1" t="s">
        <v>662</v>
      </c>
      <c r="H68" s="1" t="s">
        <v>651</v>
      </c>
    </row>
    <row r="69" spans="1:9">
      <c r="A69" s="1" t="s">
        <v>1597</v>
      </c>
      <c r="B69" s="1" t="s">
        <v>250</v>
      </c>
      <c r="C69" s="1" t="s">
        <v>1598</v>
      </c>
      <c r="D69" s="1" t="s">
        <v>1362</v>
      </c>
      <c r="E69" s="1" t="s">
        <v>1599</v>
      </c>
      <c r="F69" s="1" t="s">
        <v>3469</v>
      </c>
      <c r="G69" s="1" t="s">
        <v>874</v>
      </c>
      <c r="H69" s="1" t="s">
        <v>651</v>
      </c>
    </row>
    <row r="70" spans="1:9">
      <c r="A70" s="1" t="s">
        <v>905</v>
      </c>
      <c r="B70" s="1" t="s">
        <v>63</v>
      </c>
      <c r="C70" s="1" t="s">
        <v>906</v>
      </c>
      <c r="D70" s="1" t="s">
        <v>907</v>
      </c>
      <c r="E70" s="1" t="s">
        <v>908</v>
      </c>
      <c r="F70" s="1" t="s">
        <v>3469</v>
      </c>
      <c r="G70" s="1" t="s">
        <v>696</v>
      </c>
      <c r="H70" s="1" t="s">
        <v>651</v>
      </c>
    </row>
    <row r="71" spans="1:9">
      <c r="A71" s="1" t="s">
        <v>3490</v>
      </c>
      <c r="B71" s="1" t="s">
        <v>3491</v>
      </c>
      <c r="C71" s="1" t="s">
        <v>3492</v>
      </c>
      <c r="D71" s="1" t="s">
        <v>3493</v>
      </c>
      <c r="E71" s="1" t="s">
        <v>3494</v>
      </c>
      <c r="F71" s="1" t="s">
        <v>3489</v>
      </c>
      <c r="G71" s="1" t="s">
        <v>3016</v>
      </c>
      <c r="H71" s="1" t="s">
        <v>651</v>
      </c>
      <c r="I71" s="1" t="s">
        <v>691</v>
      </c>
    </row>
    <row r="72" spans="1:9">
      <c r="A72" s="1" t="s">
        <v>2292</v>
      </c>
      <c r="B72" s="1" t="s">
        <v>443</v>
      </c>
      <c r="C72" s="1" t="s">
        <v>2293</v>
      </c>
      <c r="D72" s="1" t="s">
        <v>2294</v>
      </c>
      <c r="E72" s="1" t="s">
        <v>2295</v>
      </c>
      <c r="F72" s="1" t="s">
        <v>3469</v>
      </c>
      <c r="G72" s="1" t="s">
        <v>662</v>
      </c>
      <c r="H72" s="1" t="s">
        <v>651</v>
      </c>
    </row>
    <row r="73" spans="1:9">
      <c r="A73" s="1" t="s">
        <v>2679</v>
      </c>
      <c r="B73" s="1" t="s">
        <v>547</v>
      </c>
      <c r="C73" s="1" t="s">
        <v>2680</v>
      </c>
      <c r="D73" s="1" t="s">
        <v>2681</v>
      </c>
      <c r="E73" s="1" t="s">
        <v>2682</v>
      </c>
      <c r="F73" s="1" t="s">
        <v>3483</v>
      </c>
      <c r="G73" s="1" t="s">
        <v>2669</v>
      </c>
      <c r="H73" s="1" t="s">
        <v>651</v>
      </c>
      <c r="I73" s="1" t="s">
        <v>691</v>
      </c>
    </row>
    <row r="74" spans="1:9">
      <c r="A74" s="1" t="s">
        <v>721</v>
      </c>
      <c r="B74" s="1" t="s">
        <v>18</v>
      </c>
      <c r="C74" s="1" t="s">
        <v>722</v>
      </c>
      <c r="D74" s="1" t="s">
        <v>723</v>
      </c>
      <c r="E74" s="1" t="s">
        <v>724</v>
      </c>
      <c r="F74" s="1" t="s">
        <v>3469</v>
      </c>
      <c r="G74" s="1" t="s">
        <v>662</v>
      </c>
      <c r="H74" s="1" t="s">
        <v>651</v>
      </c>
      <c r="I74" s="1" t="s">
        <v>691</v>
      </c>
    </row>
    <row r="75" spans="1:9">
      <c r="A75" s="1" t="s">
        <v>854</v>
      </c>
      <c r="B75" s="1" t="s">
        <v>49</v>
      </c>
      <c r="C75" s="1" t="s">
        <v>669</v>
      </c>
      <c r="D75" s="1" t="s">
        <v>762</v>
      </c>
      <c r="E75" s="1" t="s">
        <v>855</v>
      </c>
      <c r="F75" s="1" t="s">
        <v>3469</v>
      </c>
      <c r="G75" s="1" t="s">
        <v>690</v>
      </c>
      <c r="H75" s="1" t="s">
        <v>651</v>
      </c>
      <c r="I75" s="1" t="s">
        <v>652</v>
      </c>
    </row>
    <row r="76" spans="1:9">
      <c r="A76" s="1" t="s">
        <v>1013</v>
      </c>
      <c r="B76" s="1" t="s">
        <v>92</v>
      </c>
      <c r="C76" s="1" t="s">
        <v>1014</v>
      </c>
      <c r="D76" s="1" t="s">
        <v>1015</v>
      </c>
      <c r="E76" s="1" t="s">
        <v>1016</v>
      </c>
      <c r="F76" s="1" t="s">
        <v>3469</v>
      </c>
      <c r="G76" s="1" t="s">
        <v>690</v>
      </c>
      <c r="H76" s="1" t="s">
        <v>651</v>
      </c>
      <c r="I76" s="1" t="s">
        <v>652</v>
      </c>
    </row>
    <row r="77" spans="1:9">
      <c r="A77" s="1" t="s">
        <v>1850</v>
      </c>
      <c r="B77" s="1" t="s">
        <v>321</v>
      </c>
      <c r="C77" s="1" t="s">
        <v>1851</v>
      </c>
      <c r="D77" s="1" t="s">
        <v>1852</v>
      </c>
      <c r="E77" s="1" t="s">
        <v>1853</v>
      </c>
      <c r="F77" s="1" t="s">
        <v>3469</v>
      </c>
      <c r="G77" s="1" t="s">
        <v>889</v>
      </c>
      <c r="H77" s="1" t="s">
        <v>651</v>
      </c>
    </row>
    <row r="78" spans="1:9">
      <c r="A78" s="1" t="s">
        <v>2200</v>
      </c>
      <c r="B78" s="1" t="s">
        <v>419</v>
      </c>
      <c r="C78" s="1" t="s">
        <v>2201</v>
      </c>
      <c r="D78" s="1" t="s">
        <v>792</v>
      </c>
      <c r="E78" s="1" t="s">
        <v>2202</v>
      </c>
      <c r="F78" s="1" t="s">
        <v>3469</v>
      </c>
      <c r="G78" s="1" t="s">
        <v>662</v>
      </c>
      <c r="H78" s="1" t="s">
        <v>651</v>
      </c>
      <c r="I78" s="1" t="s">
        <v>691</v>
      </c>
    </row>
    <row r="79" spans="1:9">
      <c r="A79" s="1" t="s">
        <v>1190</v>
      </c>
      <c r="B79" s="1" t="s">
        <v>142</v>
      </c>
      <c r="C79" s="1" t="s">
        <v>1191</v>
      </c>
      <c r="D79" s="1" t="s">
        <v>1192</v>
      </c>
      <c r="E79" s="1" t="s">
        <v>1193</v>
      </c>
      <c r="F79" s="1" t="s">
        <v>3469</v>
      </c>
      <c r="G79" s="1" t="s">
        <v>1074</v>
      </c>
      <c r="H79" s="1" t="s">
        <v>651</v>
      </c>
    </row>
    <row r="80" spans="1:9">
      <c r="A80" s="1" t="s">
        <v>1221</v>
      </c>
      <c r="B80" s="1" t="s">
        <v>151</v>
      </c>
      <c r="C80" s="1" t="s">
        <v>669</v>
      </c>
      <c r="D80" s="1" t="s">
        <v>1198</v>
      </c>
      <c r="E80" s="1" t="s">
        <v>1222</v>
      </c>
      <c r="F80" s="1" t="s">
        <v>3469</v>
      </c>
      <c r="G80" s="1" t="s">
        <v>802</v>
      </c>
      <c r="H80" s="1" t="s">
        <v>651</v>
      </c>
    </row>
    <row r="81" spans="1:9">
      <c r="A81" s="1" t="s">
        <v>2090</v>
      </c>
      <c r="B81" s="1" t="s">
        <v>385</v>
      </c>
      <c r="C81" s="1" t="s">
        <v>1136</v>
      </c>
      <c r="D81" s="1" t="s">
        <v>1137</v>
      </c>
      <c r="E81" s="1" t="s">
        <v>2091</v>
      </c>
      <c r="F81" s="1" t="s">
        <v>3469</v>
      </c>
      <c r="G81" s="1" t="s">
        <v>650</v>
      </c>
      <c r="H81" s="1" t="s">
        <v>651</v>
      </c>
    </row>
    <row r="82" spans="1:9">
      <c r="A82" s="1" t="s">
        <v>1135</v>
      </c>
      <c r="B82" s="1" t="s">
        <v>126</v>
      </c>
      <c r="C82" s="1" t="s">
        <v>1136</v>
      </c>
      <c r="D82" s="1" t="s">
        <v>1137</v>
      </c>
      <c r="E82" s="1" t="s">
        <v>1138</v>
      </c>
      <c r="F82" s="1" t="s">
        <v>3469</v>
      </c>
      <c r="G82" s="1" t="s">
        <v>738</v>
      </c>
      <c r="H82" s="1" t="s">
        <v>651</v>
      </c>
    </row>
    <row r="83" spans="1:9">
      <c r="A83" s="1" t="s">
        <v>1397</v>
      </c>
      <c r="B83" s="1" t="s">
        <v>199</v>
      </c>
      <c r="C83" s="1" t="s">
        <v>1398</v>
      </c>
      <c r="D83" s="1" t="s">
        <v>736</v>
      </c>
      <c r="E83" s="1" t="s">
        <v>1399</v>
      </c>
      <c r="F83" s="1" t="s">
        <v>3469</v>
      </c>
      <c r="G83" s="1" t="s">
        <v>889</v>
      </c>
      <c r="H83" s="1" t="s">
        <v>651</v>
      </c>
    </row>
    <row r="84" spans="1:9">
      <c r="A84" s="1" t="s">
        <v>1047</v>
      </c>
      <c r="B84" s="1" t="s">
        <v>101</v>
      </c>
      <c r="C84" s="1" t="s">
        <v>1048</v>
      </c>
      <c r="D84" s="1" t="s">
        <v>899</v>
      </c>
      <c r="E84" s="1" t="s">
        <v>1049</v>
      </c>
      <c r="F84" s="1" t="s">
        <v>3469</v>
      </c>
      <c r="G84" s="1" t="s">
        <v>802</v>
      </c>
      <c r="H84" s="1" t="s">
        <v>651</v>
      </c>
    </row>
    <row r="85" spans="1:9">
      <c r="A85" s="1" t="s">
        <v>1197</v>
      </c>
      <c r="B85" s="1" t="s">
        <v>144</v>
      </c>
      <c r="C85" s="1" t="s">
        <v>669</v>
      </c>
      <c r="D85" s="1" t="s">
        <v>1198</v>
      </c>
      <c r="E85" s="1" t="s">
        <v>1199</v>
      </c>
      <c r="F85" s="1" t="s">
        <v>3469</v>
      </c>
      <c r="G85" s="1" t="s">
        <v>889</v>
      </c>
      <c r="H85" s="1" t="s">
        <v>651</v>
      </c>
    </row>
    <row r="86" spans="1:9">
      <c r="A86" s="1" t="s">
        <v>1204</v>
      </c>
      <c r="B86" s="1" t="s">
        <v>146</v>
      </c>
      <c r="C86" s="1" t="s">
        <v>1205</v>
      </c>
      <c r="D86" s="1" t="s">
        <v>907</v>
      </c>
      <c r="E86" s="1" t="s">
        <v>1206</v>
      </c>
      <c r="F86" s="1" t="s">
        <v>3469</v>
      </c>
      <c r="G86" s="1" t="s">
        <v>729</v>
      </c>
      <c r="H86" s="1" t="s">
        <v>651</v>
      </c>
    </row>
    <row r="87" spans="1:9">
      <c r="A87" s="1" t="s">
        <v>713</v>
      </c>
      <c r="B87" s="1" t="s">
        <v>16</v>
      </c>
      <c r="C87" s="1" t="s">
        <v>714</v>
      </c>
      <c r="D87" s="1" t="s">
        <v>715</v>
      </c>
      <c r="E87" s="1" t="s">
        <v>716</v>
      </c>
      <c r="F87" s="1" t="s">
        <v>3469</v>
      </c>
      <c r="G87" s="1" t="s">
        <v>704</v>
      </c>
      <c r="H87" s="1" t="s">
        <v>651</v>
      </c>
    </row>
    <row r="88" spans="1:9">
      <c r="A88" s="1" t="s">
        <v>1506</v>
      </c>
      <c r="B88" s="1" t="s">
        <v>227</v>
      </c>
      <c r="C88" s="1" t="s">
        <v>1507</v>
      </c>
      <c r="D88" s="1" t="s">
        <v>1508</v>
      </c>
      <c r="E88" s="1" t="s">
        <v>1509</v>
      </c>
      <c r="F88" s="1" t="s">
        <v>3469</v>
      </c>
      <c r="G88" s="1" t="s">
        <v>685</v>
      </c>
      <c r="H88" s="1" t="s">
        <v>651</v>
      </c>
    </row>
    <row r="89" spans="1:9">
      <c r="A89" s="1" t="s">
        <v>658</v>
      </c>
      <c r="B89" s="1" t="s">
        <v>4</v>
      </c>
      <c r="C89" s="1" t="s">
        <v>659</v>
      </c>
      <c r="D89" s="1" t="s">
        <v>660</v>
      </c>
      <c r="E89" s="1" t="s">
        <v>661</v>
      </c>
      <c r="F89" s="1" t="s">
        <v>3469</v>
      </c>
      <c r="G89" s="1" t="s">
        <v>662</v>
      </c>
      <c r="H89" s="1" t="s">
        <v>651</v>
      </c>
      <c r="I89" s="1" t="s">
        <v>652</v>
      </c>
    </row>
    <row r="90" spans="1:9">
      <c r="A90" s="1" t="s">
        <v>2661</v>
      </c>
      <c r="B90" s="1" t="s">
        <v>543</v>
      </c>
      <c r="C90" s="1" t="s">
        <v>2662</v>
      </c>
      <c r="D90" s="1" t="s">
        <v>2663</v>
      </c>
      <c r="E90" s="1" t="s">
        <v>2664</v>
      </c>
      <c r="F90" s="1" t="s">
        <v>3483</v>
      </c>
      <c r="G90" s="1" t="s">
        <v>2488</v>
      </c>
      <c r="H90" s="1" t="s">
        <v>651</v>
      </c>
      <c r="I90" s="1" t="s">
        <v>2458</v>
      </c>
    </row>
    <row r="91" spans="1:9">
      <c r="A91" s="1" t="s">
        <v>734</v>
      </c>
      <c r="B91" s="1" t="s">
        <v>21</v>
      </c>
      <c r="C91" s="1" t="s">
        <v>735</v>
      </c>
      <c r="D91" s="1" t="s">
        <v>736</v>
      </c>
      <c r="E91" s="1" t="s">
        <v>737</v>
      </c>
      <c r="F91" s="1" t="s">
        <v>3469</v>
      </c>
      <c r="G91" s="1" t="s">
        <v>738</v>
      </c>
      <c r="H91" s="1" t="s">
        <v>651</v>
      </c>
    </row>
    <row r="92" spans="1:9">
      <c r="A92" s="1" t="s">
        <v>2990</v>
      </c>
      <c r="B92" s="1" t="s">
        <v>628</v>
      </c>
      <c r="C92" s="1" t="s">
        <v>2982</v>
      </c>
      <c r="D92" s="1" t="s">
        <v>2991</v>
      </c>
      <c r="E92" s="1" t="s">
        <v>2992</v>
      </c>
      <c r="F92" s="1" t="s">
        <v>3495</v>
      </c>
      <c r="G92" s="1" t="s">
        <v>2914</v>
      </c>
      <c r="H92" s="1" t="s">
        <v>651</v>
      </c>
    </row>
    <row r="93" spans="1:9">
      <c r="A93" s="1" t="s">
        <v>2981</v>
      </c>
      <c r="B93" s="1" t="s">
        <v>625</v>
      </c>
      <c r="C93" s="1" t="s">
        <v>2982</v>
      </c>
      <c r="D93" s="1" t="s">
        <v>2983</v>
      </c>
      <c r="E93" s="1" t="s">
        <v>2984</v>
      </c>
      <c r="F93" s="1" t="s">
        <v>3496</v>
      </c>
      <c r="G93" s="1" t="s">
        <v>2914</v>
      </c>
      <c r="H93" s="1" t="s">
        <v>651</v>
      </c>
    </row>
    <row r="94" spans="1:9">
      <c r="A94" s="1" t="s">
        <v>2985</v>
      </c>
      <c r="B94" s="1" t="s">
        <v>626</v>
      </c>
      <c r="C94" s="1" t="s">
        <v>2982</v>
      </c>
      <c r="D94" s="1" t="s">
        <v>2983</v>
      </c>
      <c r="E94" s="1" t="s">
        <v>2986</v>
      </c>
      <c r="F94" s="1" t="s">
        <v>3496</v>
      </c>
      <c r="G94" s="1" t="s">
        <v>2914</v>
      </c>
      <c r="H94" s="1" t="s">
        <v>651</v>
      </c>
    </row>
    <row r="95" spans="1:9">
      <c r="A95" s="1" t="s">
        <v>3497</v>
      </c>
      <c r="B95" s="1" t="s">
        <v>3498</v>
      </c>
      <c r="C95" s="1" t="s">
        <v>2982</v>
      </c>
      <c r="D95" s="1" t="s">
        <v>2991</v>
      </c>
      <c r="E95" s="1" t="s">
        <v>3499</v>
      </c>
      <c r="F95" s="1" t="s">
        <v>3500</v>
      </c>
      <c r="G95" s="1" t="s">
        <v>3016</v>
      </c>
      <c r="H95" s="1" t="s">
        <v>651</v>
      </c>
    </row>
    <row r="96" spans="1:9">
      <c r="A96" s="1" t="s">
        <v>3501</v>
      </c>
      <c r="B96" s="1" t="s">
        <v>3502</v>
      </c>
      <c r="C96" s="1" t="s">
        <v>2982</v>
      </c>
      <c r="D96" s="1" t="s">
        <v>2983</v>
      </c>
      <c r="E96" s="1" t="s">
        <v>3503</v>
      </c>
      <c r="F96" s="1" t="s">
        <v>3500</v>
      </c>
      <c r="G96" s="1" t="s">
        <v>3016</v>
      </c>
      <c r="H96" s="1" t="s">
        <v>651</v>
      </c>
    </row>
    <row r="97" spans="1:9">
      <c r="A97" s="1" t="s">
        <v>3504</v>
      </c>
      <c r="B97" s="1" t="s">
        <v>3505</v>
      </c>
      <c r="C97" s="1" t="s">
        <v>2982</v>
      </c>
      <c r="D97" s="1" t="s">
        <v>2991</v>
      </c>
      <c r="E97" s="1" t="s">
        <v>3506</v>
      </c>
      <c r="F97" s="1" t="s">
        <v>3507</v>
      </c>
      <c r="G97" s="1" t="s">
        <v>3508</v>
      </c>
      <c r="H97" s="1" t="s">
        <v>651</v>
      </c>
    </row>
    <row r="98" spans="1:9">
      <c r="A98" s="1" t="s">
        <v>3509</v>
      </c>
      <c r="B98" s="1" t="s">
        <v>3510</v>
      </c>
      <c r="C98" s="1" t="s">
        <v>3511</v>
      </c>
      <c r="D98" s="1" t="s">
        <v>3512</v>
      </c>
      <c r="E98" s="1" t="s">
        <v>3513</v>
      </c>
      <c r="F98" s="1" t="s">
        <v>3507</v>
      </c>
      <c r="G98" s="1" t="s">
        <v>3508</v>
      </c>
      <c r="H98" s="1" t="s">
        <v>651</v>
      </c>
    </row>
    <row r="99" spans="1:9">
      <c r="A99" s="1" t="s">
        <v>3514</v>
      </c>
      <c r="B99" s="1" t="s">
        <v>3515</v>
      </c>
      <c r="C99" s="1" t="s">
        <v>3511</v>
      </c>
      <c r="D99" s="1" t="s">
        <v>3512</v>
      </c>
      <c r="E99" s="1" t="s">
        <v>3516</v>
      </c>
      <c r="F99" s="1" t="s">
        <v>3507</v>
      </c>
      <c r="G99" s="1" t="s">
        <v>3508</v>
      </c>
      <c r="H99" s="1" t="s">
        <v>651</v>
      </c>
    </row>
    <row r="100" spans="1:9">
      <c r="A100" s="1" t="s">
        <v>1496</v>
      </c>
      <c r="B100" s="1" t="s">
        <v>225</v>
      </c>
      <c r="C100" s="1" t="s">
        <v>1497</v>
      </c>
      <c r="D100" s="1" t="s">
        <v>1498</v>
      </c>
      <c r="E100" s="1" t="s">
        <v>1499</v>
      </c>
      <c r="F100" s="1" t="s">
        <v>3469</v>
      </c>
      <c r="G100" s="1" t="s">
        <v>696</v>
      </c>
      <c r="H100" s="1" t="s">
        <v>651</v>
      </c>
    </row>
    <row r="101" spans="1:9">
      <c r="A101" s="1" t="s">
        <v>1447</v>
      </c>
      <c r="B101" s="1" t="s">
        <v>212</v>
      </c>
      <c r="C101" s="1" t="s">
        <v>1007</v>
      </c>
      <c r="D101" s="1" t="s">
        <v>792</v>
      </c>
      <c r="E101" s="1" t="s">
        <v>1448</v>
      </c>
      <c r="F101" s="1" t="s">
        <v>3469</v>
      </c>
      <c r="G101" s="1" t="s">
        <v>837</v>
      </c>
      <c r="H101" s="1" t="s">
        <v>651</v>
      </c>
      <c r="I101" s="1" t="s">
        <v>1440</v>
      </c>
    </row>
    <row r="102" spans="1:9">
      <c r="A102" s="1" t="s">
        <v>1467</v>
      </c>
      <c r="B102" s="1" t="s">
        <v>216</v>
      </c>
      <c r="C102" s="1" t="s">
        <v>1468</v>
      </c>
      <c r="D102" s="1" t="s">
        <v>1469</v>
      </c>
      <c r="E102" s="1" t="s">
        <v>1470</v>
      </c>
      <c r="F102" s="1" t="s">
        <v>3469</v>
      </c>
      <c r="G102" s="1" t="s">
        <v>802</v>
      </c>
      <c r="H102" s="1" t="s">
        <v>651</v>
      </c>
    </row>
    <row r="103" spans="1:9">
      <c r="A103" s="1" t="s">
        <v>1651</v>
      </c>
      <c r="B103" s="1" t="s">
        <v>216</v>
      </c>
      <c r="C103" s="1" t="s">
        <v>1468</v>
      </c>
      <c r="D103" s="1" t="s">
        <v>1469</v>
      </c>
      <c r="E103" s="1" t="s">
        <v>1652</v>
      </c>
      <c r="F103" s="1" t="s">
        <v>3469</v>
      </c>
      <c r="G103" s="1" t="s">
        <v>802</v>
      </c>
      <c r="H103" s="1" t="s">
        <v>651</v>
      </c>
    </row>
    <row r="104" spans="1:9">
      <c r="A104" s="1" t="s">
        <v>1426</v>
      </c>
      <c r="B104" s="1" t="s">
        <v>3517</v>
      </c>
      <c r="C104" s="1" t="s">
        <v>1468</v>
      </c>
      <c r="D104" s="1" t="s">
        <v>1579</v>
      </c>
      <c r="E104" s="1" t="s">
        <v>1427</v>
      </c>
      <c r="F104" s="1" t="s">
        <v>3469</v>
      </c>
      <c r="G104" s="1" t="s">
        <v>650</v>
      </c>
      <c r="H104" s="1" t="s">
        <v>651</v>
      </c>
    </row>
    <row r="105" spans="1:9">
      <c r="A105" s="1" t="s">
        <v>1465</v>
      </c>
      <c r="B105" s="1" t="s">
        <v>3517</v>
      </c>
      <c r="C105" s="1" t="s">
        <v>1468</v>
      </c>
      <c r="D105" s="1" t="s">
        <v>1579</v>
      </c>
      <c r="E105" s="1" t="s">
        <v>1466</v>
      </c>
      <c r="F105" s="1" t="s">
        <v>3469</v>
      </c>
      <c r="G105" s="1" t="s">
        <v>650</v>
      </c>
      <c r="H105" s="1" t="s">
        <v>651</v>
      </c>
    </row>
    <row r="106" spans="1:9">
      <c r="A106" s="1" t="s">
        <v>747</v>
      </c>
      <c r="B106" s="1" t="s">
        <v>24</v>
      </c>
      <c r="C106" s="1" t="s">
        <v>748</v>
      </c>
      <c r="D106" s="1" t="s">
        <v>749</v>
      </c>
      <c r="E106" s="1" t="s">
        <v>750</v>
      </c>
      <c r="F106" s="1" t="s">
        <v>3469</v>
      </c>
      <c r="G106" s="1" t="s">
        <v>696</v>
      </c>
      <c r="H106" s="1" t="s">
        <v>651</v>
      </c>
    </row>
    <row r="107" spans="1:9">
      <c r="A107" s="1" t="s">
        <v>1355</v>
      </c>
      <c r="B107" s="1" t="s">
        <v>188</v>
      </c>
      <c r="C107" s="1" t="s">
        <v>669</v>
      </c>
      <c r="D107" s="1" t="s">
        <v>1356</v>
      </c>
      <c r="E107" s="1" t="s">
        <v>1357</v>
      </c>
      <c r="F107" s="1" t="s">
        <v>3469</v>
      </c>
      <c r="G107" s="1" t="s">
        <v>837</v>
      </c>
      <c r="H107" s="1" t="s">
        <v>651</v>
      </c>
    </row>
    <row r="108" spans="1:9">
      <c r="A108" s="1" t="s">
        <v>1358</v>
      </c>
      <c r="B108" s="1" t="s">
        <v>188</v>
      </c>
      <c r="C108" s="1" t="s">
        <v>669</v>
      </c>
      <c r="D108" s="1" t="s">
        <v>1356</v>
      </c>
      <c r="E108" s="1" t="s">
        <v>1359</v>
      </c>
      <c r="F108" s="1" t="s">
        <v>3469</v>
      </c>
      <c r="G108" s="1" t="s">
        <v>837</v>
      </c>
      <c r="H108" s="1" t="s">
        <v>651</v>
      </c>
    </row>
    <row r="109" spans="1:9">
      <c r="A109" s="1" t="s">
        <v>1116</v>
      </c>
      <c r="B109" s="1" t="s">
        <v>121</v>
      </c>
      <c r="C109" s="1" t="s">
        <v>1117</v>
      </c>
      <c r="D109" s="1" t="s">
        <v>1118</v>
      </c>
      <c r="E109" s="1" t="s">
        <v>1119</v>
      </c>
      <c r="F109" s="1" t="s">
        <v>3469</v>
      </c>
      <c r="G109" s="1" t="s">
        <v>667</v>
      </c>
      <c r="H109" s="1" t="s">
        <v>651</v>
      </c>
      <c r="I109" s="1" t="s">
        <v>691</v>
      </c>
    </row>
    <row r="110" spans="1:9">
      <c r="A110" s="1" t="s">
        <v>1330</v>
      </c>
      <c r="B110" s="1" t="s">
        <v>3518</v>
      </c>
      <c r="C110" s="1" t="s">
        <v>3519</v>
      </c>
      <c r="D110" s="1" t="s">
        <v>655</v>
      </c>
      <c r="E110" s="1" t="s">
        <v>1331</v>
      </c>
      <c r="F110" s="1" t="s">
        <v>3469</v>
      </c>
      <c r="G110" s="1" t="s">
        <v>685</v>
      </c>
      <c r="H110" s="1" t="s">
        <v>651</v>
      </c>
    </row>
    <row r="111" spans="1:9">
      <c r="A111" s="1" t="s">
        <v>692</v>
      </c>
      <c r="B111" s="1" t="s">
        <v>11</v>
      </c>
      <c r="C111" s="1" t="s">
        <v>693</v>
      </c>
      <c r="D111" s="1" t="s">
        <v>694</v>
      </c>
      <c r="E111" s="1" t="s">
        <v>695</v>
      </c>
      <c r="F111" s="1" t="s">
        <v>3469</v>
      </c>
      <c r="G111" s="1" t="s">
        <v>696</v>
      </c>
      <c r="H111" s="1" t="s">
        <v>651</v>
      </c>
    </row>
    <row r="112" spans="1:9">
      <c r="A112" s="1" t="s">
        <v>1326</v>
      </c>
      <c r="B112" s="1" t="s">
        <v>180</v>
      </c>
      <c r="C112" s="1" t="s">
        <v>1327</v>
      </c>
      <c r="D112" s="1" t="s">
        <v>1328</v>
      </c>
      <c r="E112" s="1" t="s">
        <v>1329</v>
      </c>
      <c r="F112" s="1" t="s">
        <v>3469</v>
      </c>
      <c r="G112" s="1" t="s">
        <v>704</v>
      </c>
      <c r="H112" s="1" t="s">
        <v>651</v>
      </c>
    </row>
    <row r="113" spans="1:9">
      <c r="A113" s="1" t="s">
        <v>1164</v>
      </c>
      <c r="B113" s="1" t="s">
        <v>135</v>
      </c>
      <c r="C113" s="1" t="s">
        <v>669</v>
      </c>
      <c r="D113" s="1" t="s">
        <v>1165</v>
      </c>
      <c r="E113" s="1" t="s">
        <v>1166</v>
      </c>
      <c r="F113" s="1" t="s">
        <v>3469</v>
      </c>
      <c r="G113" s="1" t="s">
        <v>802</v>
      </c>
      <c r="H113" s="1" t="s">
        <v>651</v>
      </c>
    </row>
    <row r="114" spans="1:9">
      <c r="A114" s="1" t="s">
        <v>1374</v>
      </c>
      <c r="B114" s="1" t="s">
        <v>193</v>
      </c>
      <c r="C114" s="1" t="s">
        <v>1375</v>
      </c>
      <c r="D114" s="1" t="s">
        <v>1376</v>
      </c>
      <c r="E114" s="1" t="s">
        <v>1377</v>
      </c>
      <c r="F114" s="1" t="s">
        <v>3469</v>
      </c>
      <c r="G114" s="1" t="s">
        <v>837</v>
      </c>
      <c r="H114" s="1" t="s">
        <v>651</v>
      </c>
    </row>
    <row r="115" spans="1:9">
      <c r="A115" s="1" t="s">
        <v>1395</v>
      </c>
      <c r="B115" s="1" t="s">
        <v>193</v>
      </c>
      <c r="C115" s="1" t="s">
        <v>1375</v>
      </c>
      <c r="D115" s="1" t="s">
        <v>1376</v>
      </c>
      <c r="E115" s="1" t="s">
        <v>1396</v>
      </c>
      <c r="F115" s="1" t="s">
        <v>3469</v>
      </c>
      <c r="G115" s="1" t="s">
        <v>837</v>
      </c>
      <c r="H115" s="1" t="s">
        <v>651</v>
      </c>
    </row>
    <row r="116" spans="1:9">
      <c r="A116" s="1" t="s">
        <v>1194</v>
      </c>
      <c r="B116" s="1" t="s">
        <v>143</v>
      </c>
      <c r="C116" s="1" t="s">
        <v>1195</v>
      </c>
      <c r="D116" s="1" t="s">
        <v>655</v>
      </c>
      <c r="E116" s="1" t="s">
        <v>1196</v>
      </c>
      <c r="F116" s="1" t="s">
        <v>3469</v>
      </c>
      <c r="G116" s="1" t="s">
        <v>1074</v>
      </c>
      <c r="H116" s="1" t="s">
        <v>651</v>
      </c>
    </row>
    <row r="117" spans="1:9">
      <c r="A117" s="1" t="s">
        <v>890</v>
      </c>
      <c r="B117" s="1" t="s">
        <v>59</v>
      </c>
      <c r="C117" s="1" t="s">
        <v>891</v>
      </c>
      <c r="D117" s="1" t="s">
        <v>792</v>
      </c>
      <c r="E117" s="1" t="s">
        <v>892</v>
      </c>
      <c r="F117" s="1" t="s">
        <v>3469</v>
      </c>
      <c r="G117" s="1" t="s">
        <v>650</v>
      </c>
      <c r="H117" s="1" t="s">
        <v>651</v>
      </c>
    </row>
    <row r="118" spans="1:9">
      <c r="A118" s="1" t="s">
        <v>1249</v>
      </c>
      <c r="B118" s="1" t="s">
        <v>159</v>
      </c>
      <c r="C118" s="1" t="s">
        <v>1250</v>
      </c>
      <c r="D118" s="1" t="s">
        <v>1251</v>
      </c>
      <c r="E118" s="1" t="s">
        <v>1252</v>
      </c>
      <c r="F118" s="1" t="s">
        <v>3469</v>
      </c>
      <c r="G118" s="1" t="s">
        <v>650</v>
      </c>
      <c r="H118" s="1" t="s">
        <v>651</v>
      </c>
    </row>
    <row r="119" spans="1:9">
      <c r="A119" s="1" t="s">
        <v>1441</v>
      </c>
      <c r="B119" s="1" t="s">
        <v>211</v>
      </c>
      <c r="C119" s="1" t="s">
        <v>1442</v>
      </c>
      <c r="D119" s="1" t="s">
        <v>1443</v>
      </c>
      <c r="E119" s="1" t="s">
        <v>1444</v>
      </c>
      <c r="F119" s="1" t="s">
        <v>3469</v>
      </c>
      <c r="G119" s="1" t="s">
        <v>837</v>
      </c>
      <c r="H119" s="1" t="s">
        <v>651</v>
      </c>
      <c r="I119" s="1" t="s">
        <v>1440</v>
      </c>
    </row>
    <row r="120" spans="1:9">
      <c r="A120" s="1" t="s">
        <v>1500</v>
      </c>
      <c r="B120" s="1" t="s">
        <v>211</v>
      </c>
      <c r="C120" s="1" t="s">
        <v>1442</v>
      </c>
      <c r="D120" s="1" t="s">
        <v>1443</v>
      </c>
      <c r="E120" s="1" t="s">
        <v>1501</v>
      </c>
      <c r="F120" s="1" t="s">
        <v>3469</v>
      </c>
      <c r="G120" s="1" t="s">
        <v>837</v>
      </c>
      <c r="H120" s="1" t="s">
        <v>651</v>
      </c>
      <c r="I120" s="1" t="s">
        <v>1440</v>
      </c>
    </row>
    <row r="121" spans="1:9">
      <c r="A121" s="1" t="s">
        <v>1667</v>
      </c>
      <c r="B121" s="1" t="s">
        <v>269</v>
      </c>
      <c r="C121" s="1" t="s">
        <v>1668</v>
      </c>
      <c r="D121" s="1" t="s">
        <v>1669</v>
      </c>
      <c r="E121" s="1" t="s">
        <v>1670</v>
      </c>
      <c r="F121" s="1" t="s">
        <v>3469</v>
      </c>
      <c r="G121" s="1" t="s">
        <v>738</v>
      </c>
      <c r="H121" s="1" t="s">
        <v>651</v>
      </c>
    </row>
    <row r="122" spans="1:9">
      <c r="A122" s="1" t="s">
        <v>1461</v>
      </c>
      <c r="B122" s="1" t="s">
        <v>215</v>
      </c>
      <c r="C122" s="1" t="s">
        <v>1462</v>
      </c>
      <c r="D122" s="1" t="s">
        <v>1463</v>
      </c>
      <c r="E122" s="1" t="s">
        <v>1464</v>
      </c>
      <c r="F122" s="1" t="s">
        <v>3469</v>
      </c>
      <c r="G122" s="1" t="s">
        <v>650</v>
      </c>
      <c r="H122" s="1" t="s">
        <v>651</v>
      </c>
      <c r="I122" s="1" t="s">
        <v>1440</v>
      </c>
    </row>
    <row r="123" spans="1:9">
      <c r="A123" s="1" t="s">
        <v>1690</v>
      </c>
      <c r="B123" s="1" t="s">
        <v>275</v>
      </c>
      <c r="C123" s="1" t="s">
        <v>1691</v>
      </c>
      <c r="D123" s="1" t="s">
        <v>1692</v>
      </c>
      <c r="E123" s="1" t="s">
        <v>1693</v>
      </c>
      <c r="F123" s="1" t="s">
        <v>3469</v>
      </c>
      <c r="G123" s="1" t="s">
        <v>837</v>
      </c>
      <c r="H123" s="1" t="s">
        <v>651</v>
      </c>
      <c r="I123" s="1" t="s">
        <v>1440</v>
      </c>
    </row>
    <row r="124" spans="1:9">
      <c r="A124" s="1" t="s">
        <v>1896</v>
      </c>
      <c r="B124" s="1" t="s">
        <v>332</v>
      </c>
      <c r="C124" s="1" t="s">
        <v>1422</v>
      </c>
      <c r="D124" s="1" t="s">
        <v>719</v>
      </c>
      <c r="E124" s="1" t="s">
        <v>1897</v>
      </c>
      <c r="F124" s="1" t="s">
        <v>3469</v>
      </c>
      <c r="G124" s="1" t="s">
        <v>680</v>
      </c>
      <c r="H124" s="1" t="s">
        <v>651</v>
      </c>
    </row>
    <row r="125" spans="1:9">
      <c r="A125" s="1" t="s">
        <v>2232</v>
      </c>
      <c r="B125" s="1" t="s">
        <v>428</v>
      </c>
      <c r="C125" s="1" t="s">
        <v>2233</v>
      </c>
      <c r="D125" s="1" t="s">
        <v>655</v>
      </c>
      <c r="E125" s="1" t="s">
        <v>2234</v>
      </c>
      <c r="F125" s="1" t="s">
        <v>3469</v>
      </c>
      <c r="G125" s="1" t="s">
        <v>662</v>
      </c>
      <c r="H125" s="1" t="s">
        <v>651</v>
      </c>
      <c r="I125" s="1" t="s">
        <v>691</v>
      </c>
    </row>
    <row r="126" spans="1:9">
      <c r="A126" s="1" t="s">
        <v>2036</v>
      </c>
      <c r="B126" s="1" t="s">
        <v>371</v>
      </c>
      <c r="C126" s="1" t="s">
        <v>2037</v>
      </c>
      <c r="D126" s="1" t="s">
        <v>2038</v>
      </c>
      <c r="E126" s="1" t="s">
        <v>2039</v>
      </c>
      <c r="F126" s="1" t="s">
        <v>3469</v>
      </c>
      <c r="G126" s="1" t="s">
        <v>662</v>
      </c>
      <c r="H126" s="1" t="s">
        <v>651</v>
      </c>
      <c r="I126" s="1" t="s">
        <v>691</v>
      </c>
    </row>
    <row r="127" spans="1:9">
      <c r="A127" s="1" t="s">
        <v>2014</v>
      </c>
      <c r="B127" s="1" t="s">
        <v>365</v>
      </c>
      <c r="C127" s="1" t="s">
        <v>2015</v>
      </c>
      <c r="D127" s="1" t="s">
        <v>2016</v>
      </c>
      <c r="E127" s="1" t="s">
        <v>2017</v>
      </c>
      <c r="F127" s="1" t="s">
        <v>3469</v>
      </c>
      <c r="G127" s="1" t="s">
        <v>680</v>
      </c>
      <c r="H127" s="1" t="s">
        <v>651</v>
      </c>
      <c r="I127" s="1" t="s">
        <v>691</v>
      </c>
    </row>
    <row r="128" spans="1:9">
      <c r="A128" s="1" t="s">
        <v>2242</v>
      </c>
      <c r="B128" s="1" t="s">
        <v>431</v>
      </c>
      <c r="C128" s="1" t="s">
        <v>2243</v>
      </c>
      <c r="D128" s="1" t="s">
        <v>2244</v>
      </c>
      <c r="E128" s="1" t="s">
        <v>2245</v>
      </c>
      <c r="F128" s="1" t="s">
        <v>3469</v>
      </c>
      <c r="G128" s="1" t="s">
        <v>680</v>
      </c>
      <c r="H128" s="1" t="s">
        <v>651</v>
      </c>
      <c r="I128" s="1" t="s">
        <v>652</v>
      </c>
    </row>
    <row r="129" spans="1:9">
      <c r="A129" s="1" t="s">
        <v>2082</v>
      </c>
      <c r="B129" s="1" t="s">
        <v>383</v>
      </c>
      <c r="C129" s="1" t="s">
        <v>2083</v>
      </c>
      <c r="D129" s="1" t="s">
        <v>2084</v>
      </c>
      <c r="E129" s="1" t="s">
        <v>2085</v>
      </c>
      <c r="F129" s="1" t="s">
        <v>3469</v>
      </c>
      <c r="G129" s="1" t="s">
        <v>680</v>
      </c>
      <c r="H129" s="1" t="s">
        <v>651</v>
      </c>
    </row>
    <row r="130" spans="1:9">
      <c r="A130" s="1" t="s">
        <v>1581</v>
      </c>
      <c r="B130" s="1" t="s">
        <v>246</v>
      </c>
      <c r="C130" s="1" t="s">
        <v>1582</v>
      </c>
      <c r="D130" s="1" t="s">
        <v>1583</v>
      </c>
      <c r="E130" s="1" t="s">
        <v>1584</v>
      </c>
      <c r="F130" s="1" t="s">
        <v>3469</v>
      </c>
      <c r="G130" s="1" t="s">
        <v>680</v>
      </c>
      <c r="H130" s="1" t="s">
        <v>651</v>
      </c>
      <c r="I130" s="1" t="s">
        <v>1440</v>
      </c>
    </row>
    <row r="131" spans="1:9">
      <c r="A131" s="1" t="s">
        <v>2310</v>
      </c>
      <c r="B131" s="1" t="s">
        <v>447</v>
      </c>
      <c r="C131" s="1" t="s">
        <v>2311</v>
      </c>
      <c r="D131" s="1" t="s">
        <v>2312</v>
      </c>
      <c r="E131" s="1" t="s">
        <v>2313</v>
      </c>
      <c r="F131" s="1" t="s">
        <v>3469</v>
      </c>
      <c r="G131" s="1" t="s">
        <v>777</v>
      </c>
      <c r="H131" s="1" t="s">
        <v>651</v>
      </c>
    </row>
    <row r="132" spans="1:9">
      <c r="A132" s="1" t="s">
        <v>2362</v>
      </c>
      <c r="B132" s="1" t="s">
        <v>459</v>
      </c>
      <c r="C132" s="1" t="s">
        <v>2363</v>
      </c>
      <c r="D132" s="1" t="s">
        <v>2364</v>
      </c>
      <c r="E132" s="1" t="s">
        <v>2365</v>
      </c>
      <c r="F132" s="1" t="s">
        <v>3469</v>
      </c>
      <c r="G132" s="1" t="s">
        <v>690</v>
      </c>
      <c r="H132" s="1" t="s">
        <v>651</v>
      </c>
      <c r="I132" s="1" t="s">
        <v>691</v>
      </c>
    </row>
    <row r="133" spans="1:9">
      <c r="A133" s="1" t="s">
        <v>1385</v>
      </c>
      <c r="B133" s="1" t="s">
        <v>196</v>
      </c>
      <c r="C133" s="1" t="s">
        <v>1386</v>
      </c>
      <c r="D133" s="1" t="s">
        <v>1262</v>
      </c>
      <c r="E133" s="1" t="s">
        <v>1387</v>
      </c>
      <c r="F133" s="1" t="s">
        <v>3469</v>
      </c>
      <c r="G133" s="1" t="s">
        <v>685</v>
      </c>
      <c r="H133" s="1" t="s">
        <v>651</v>
      </c>
    </row>
    <row r="134" spans="1:9">
      <c r="A134" s="1" t="s">
        <v>1388</v>
      </c>
      <c r="B134" s="1" t="s">
        <v>197</v>
      </c>
      <c r="C134" s="1" t="s">
        <v>1389</v>
      </c>
      <c r="D134" s="1" t="s">
        <v>699</v>
      </c>
      <c r="E134" s="1" t="s">
        <v>1390</v>
      </c>
      <c r="F134" s="1" t="s">
        <v>3469</v>
      </c>
      <c r="G134" s="1" t="s">
        <v>685</v>
      </c>
      <c r="H134" s="1" t="s">
        <v>651</v>
      </c>
    </row>
    <row r="135" spans="1:9">
      <c r="A135" s="1" t="s">
        <v>1577</v>
      </c>
      <c r="B135" s="1" t="s">
        <v>245</v>
      </c>
      <c r="C135" s="1" t="s">
        <v>1578</v>
      </c>
      <c r="D135" s="1" t="s">
        <v>1579</v>
      </c>
      <c r="E135" s="1" t="s">
        <v>1580</v>
      </c>
      <c r="F135" s="1" t="s">
        <v>3469</v>
      </c>
      <c r="G135" s="1" t="s">
        <v>764</v>
      </c>
      <c r="H135" s="1" t="s">
        <v>651</v>
      </c>
    </row>
    <row r="136" spans="1:9">
      <c r="A136" s="1" t="s">
        <v>2126</v>
      </c>
      <c r="B136" s="1" t="s">
        <v>396</v>
      </c>
      <c r="C136" s="1" t="s">
        <v>1553</v>
      </c>
      <c r="D136" s="1" t="s">
        <v>792</v>
      </c>
      <c r="E136" s="1" t="s">
        <v>2127</v>
      </c>
      <c r="F136" s="1" t="s">
        <v>3469</v>
      </c>
      <c r="G136" s="1" t="s">
        <v>662</v>
      </c>
      <c r="H136" s="1" t="s">
        <v>651</v>
      </c>
    </row>
    <row r="137" spans="1:9">
      <c r="A137" s="1" t="s">
        <v>1589</v>
      </c>
      <c r="B137" s="1" t="s">
        <v>248</v>
      </c>
      <c r="C137" s="1" t="s">
        <v>1590</v>
      </c>
      <c r="D137" s="1" t="s">
        <v>1122</v>
      </c>
      <c r="E137" s="1" t="s">
        <v>1591</v>
      </c>
      <c r="F137" s="1" t="s">
        <v>3469</v>
      </c>
      <c r="G137" s="1" t="s">
        <v>650</v>
      </c>
      <c r="H137" s="1" t="s">
        <v>651</v>
      </c>
    </row>
    <row r="138" spans="1:9">
      <c r="A138" s="1" t="s">
        <v>1618</v>
      </c>
      <c r="B138" s="1" t="s">
        <v>256</v>
      </c>
      <c r="C138" s="1" t="s">
        <v>1619</v>
      </c>
      <c r="D138" s="1" t="s">
        <v>1620</v>
      </c>
      <c r="E138" s="1" t="s">
        <v>1621</v>
      </c>
      <c r="F138" s="1" t="s">
        <v>3469</v>
      </c>
      <c r="G138" s="1" t="s">
        <v>729</v>
      </c>
      <c r="H138" s="1" t="s">
        <v>651</v>
      </c>
    </row>
    <row r="139" spans="1:9">
      <c r="A139" s="1" t="s">
        <v>2622</v>
      </c>
      <c r="B139" s="1" t="s">
        <v>532</v>
      </c>
      <c r="C139" s="1" t="s">
        <v>2214</v>
      </c>
      <c r="D139" s="1" t="s">
        <v>2215</v>
      </c>
      <c r="E139" s="1" t="s">
        <v>2623</v>
      </c>
      <c r="F139" s="1" t="s">
        <v>3473</v>
      </c>
      <c r="G139" s="1" t="s">
        <v>2543</v>
      </c>
      <c r="H139" s="1" t="s">
        <v>651</v>
      </c>
      <c r="I139" s="1" t="s">
        <v>691</v>
      </c>
    </row>
    <row r="140" spans="1:9">
      <c r="A140" s="1" t="s">
        <v>2213</v>
      </c>
      <c r="B140" s="1" t="s">
        <v>423</v>
      </c>
      <c r="C140" s="1" t="s">
        <v>2214</v>
      </c>
      <c r="D140" s="1" t="s">
        <v>2215</v>
      </c>
      <c r="E140" s="1" t="s">
        <v>2216</v>
      </c>
      <c r="F140" s="1" t="s">
        <v>3469</v>
      </c>
      <c r="G140" s="1" t="s">
        <v>667</v>
      </c>
      <c r="H140" s="1" t="s">
        <v>651</v>
      </c>
    </row>
    <row r="141" spans="1:9">
      <c r="A141" s="1" t="s">
        <v>2671</v>
      </c>
      <c r="B141" s="1" t="s">
        <v>545</v>
      </c>
      <c r="C141" s="1" t="s">
        <v>2672</v>
      </c>
      <c r="D141" s="1" t="s">
        <v>2673</v>
      </c>
      <c r="E141" s="1" t="s">
        <v>2674</v>
      </c>
      <c r="F141" s="1" t="s">
        <v>3483</v>
      </c>
      <c r="G141" s="1" t="s">
        <v>2568</v>
      </c>
      <c r="H141" s="1" t="s">
        <v>651</v>
      </c>
      <c r="I141" s="1" t="s">
        <v>2670</v>
      </c>
    </row>
    <row r="142" spans="1:9">
      <c r="A142" s="1" t="s">
        <v>2997</v>
      </c>
      <c r="B142" s="1" t="s">
        <v>630</v>
      </c>
      <c r="C142" s="1" t="s">
        <v>2387</v>
      </c>
      <c r="D142" s="1" t="s">
        <v>2998</v>
      </c>
      <c r="E142" s="1" t="s">
        <v>2999</v>
      </c>
      <c r="F142" s="1" t="s">
        <v>3520</v>
      </c>
      <c r="G142" s="1" t="s">
        <v>2914</v>
      </c>
      <c r="H142" s="1" t="s">
        <v>651</v>
      </c>
      <c r="I142" s="1" t="s">
        <v>691</v>
      </c>
    </row>
    <row r="143" spans="1:9">
      <c r="A143" s="1" t="s">
        <v>3521</v>
      </c>
      <c r="B143" s="1" t="s">
        <v>3522</v>
      </c>
      <c r="C143" s="1" t="s">
        <v>3523</v>
      </c>
      <c r="D143" s="1" t="s">
        <v>3524</v>
      </c>
      <c r="E143" s="1" t="s">
        <v>3525</v>
      </c>
      <c r="F143" s="1" t="s">
        <v>3489</v>
      </c>
      <c r="G143" s="1" t="s">
        <v>2897</v>
      </c>
      <c r="H143" s="1" t="s">
        <v>651</v>
      </c>
      <c r="I143" s="1" t="s">
        <v>691</v>
      </c>
    </row>
    <row r="144" spans="1:9">
      <c r="A144" s="1" t="s">
        <v>3526</v>
      </c>
      <c r="B144" s="1" t="s">
        <v>3527</v>
      </c>
      <c r="C144" s="1" t="s">
        <v>2387</v>
      </c>
      <c r="D144" s="1" t="s">
        <v>2998</v>
      </c>
      <c r="E144" s="1" t="s">
        <v>3528</v>
      </c>
      <c r="F144" s="1" t="s">
        <v>3489</v>
      </c>
      <c r="G144" s="1" t="s">
        <v>3016</v>
      </c>
      <c r="H144" s="1" t="s">
        <v>651</v>
      </c>
      <c r="I144" s="1" t="s">
        <v>691</v>
      </c>
    </row>
    <row r="145" spans="1:9">
      <c r="A145" s="1" t="s">
        <v>3529</v>
      </c>
      <c r="B145" s="1" t="s">
        <v>3530</v>
      </c>
      <c r="C145" s="1" t="s">
        <v>2387</v>
      </c>
      <c r="D145" s="1" t="s">
        <v>2998</v>
      </c>
      <c r="E145" s="1" t="s">
        <v>3531</v>
      </c>
      <c r="F145" s="1" t="s">
        <v>3489</v>
      </c>
      <c r="G145" s="1" t="s">
        <v>3016</v>
      </c>
      <c r="H145" s="1" t="s">
        <v>651</v>
      </c>
      <c r="I145" s="1" t="s">
        <v>691</v>
      </c>
    </row>
    <row r="146" spans="1:9">
      <c r="A146" s="1" t="s">
        <v>2569</v>
      </c>
      <c r="B146" s="1" t="s">
        <v>3532</v>
      </c>
      <c r="C146" s="1" t="s">
        <v>3533</v>
      </c>
      <c r="D146" s="1" t="s">
        <v>2570</v>
      </c>
      <c r="E146" s="1" t="s">
        <v>2571</v>
      </c>
      <c r="F146" s="1" t="s">
        <v>3475</v>
      </c>
      <c r="G146" s="1" t="s">
        <v>2543</v>
      </c>
      <c r="H146" s="1" t="s">
        <v>651</v>
      </c>
      <c r="I146" s="1" t="s">
        <v>691</v>
      </c>
    </row>
    <row r="147" spans="1:9">
      <c r="A147" s="1" t="s">
        <v>646</v>
      </c>
      <c r="B147" s="1" t="s">
        <v>2</v>
      </c>
      <c r="C147" s="1" t="s">
        <v>647</v>
      </c>
      <c r="D147" s="1" t="s">
        <v>648</v>
      </c>
      <c r="E147" s="1" t="s">
        <v>649</v>
      </c>
      <c r="F147" s="1" t="s">
        <v>3469</v>
      </c>
      <c r="G147" s="1" t="s">
        <v>650</v>
      </c>
      <c r="H147" s="1" t="s">
        <v>651</v>
      </c>
      <c r="I147" s="1" t="s">
        <v>652</v>
      </c>
    </row>
    <row r="148" spans="1:9">
      <c r="A148" s="1" t="s">
        <v>2665</v>
      </c>
      <c r="B148" s="1" t="s">
        <v>544</v>
      </c>
      <c r="C148" s="1" t="s">
        <v>2666</v>
      </c>
      <c r="D148" s="1" t="s">
        <v>2667</v>
      </c>
      <c r="E148" s="1" t="s">
        <v>2668</v>
      </c>
      <c r="F148" s="1" t="s">
        <v>3483</v>
      </c>
      <c r="G148" s="1" t="s">
        <v>2669</v>
      </c>
      <c r="H148" s="1" t="s">
        <v>651</v>
      </c>
      <c r="I148" s="1" t="s">
        <v>2670</v>
      </c>
    </row>
    <row r="149" spans="1:9">
      <c r="A149" s="1" t="s">
        <v>2254</v>
      </c>
      <c r="B149" s="1" t="s">
        <v>3534</v>
      </c>
      <c r="C149" s="1" t="s">
        <v>3535</v>
      </c>
      <c r="D149" s="1" t="s">
        <v>655</v>
      </c>
      <c r="E149" s="1" t="s">
        <v>2255</v>
      </c>
      <c r="F149" s="1" t="s">
        <v>3469</v>
      </c>
      <c r="G149" s="1" t="s">
        <v>690</v>
      </c>
      <c r="H149" s="1" t="s">
        <v>651</v>
      </c>
      <c r="I149" s="1" t="s">
        <v>652</v>
      </c>
    </row>
    <row r="150" spans="1:9">
      <c r="A150" s="1" t="s">
        <v>2263</v>
      </c>
      <c r="B150" s="1" t="s">
        <v>3534</v>
      </c>
      <c r="C150" s="1" t="s">
        <v>3535</v>
      </c>
      <c r="D150" s="1" t="s">
        <v>655</v>
      </c>
      <c r="E150" s="1" t="s">
        <v>2264</v>
      </c>
      <c r="F150" s="1" t="s">
        <v>3469</v>
      </c>
      <c r="G150" s="1" t="s">
        <v>690</v>
      </c>
      <c r="H150" s="1" t="s">
        <v>651</v>
      </c>
      <c r="I150" s="1" t="s">
        <v>652</v>
      </c>
    </row>
    <row r="151" spans="1:9">
      <c r="A151" s="1" t="s">
        <v>1518</v>
      </c>
      <c r="B151" s="1" t="s">
        <v>230</v>
      </c>
      <c r="C151" s="1" t="s">
        <v>1519</v>
      </c>
      <c r="D151" s="1" t="s">
        <v>1101</v>
      </c>
      <c r="E151" s="1" t="s">
        <v>1520</v>
      </c>
      <c r="F151" s="1" t="s">
        <v>3469</v>
      </c>
      <c r="G151" s="1" t="s">
        <v>777</v>
      </c>
      <c r="H151" s="1" t="s">
        <v>651</v>
      </c>
    </row>
    <row r="152" spans="1:9">
      <c r="A152" s="1" t="s">
        <v>1521</v>
      </c>
      <c r="B152" s="1" t="s">
        <v>230</v>
      </c>
      <c r="C152" s="1" t="s">
        <v>1519</v>
      </c>
      <c r="D152" s="1" t="s">
        <v>1101</v>
      </c>
      <c r="E152" s="1" t="s">
        <v>1522</v>
      </c>
      <c r="F152" s="1" t="s">
        <v>3469</v>
      </c>
      <c r="G152" s="1" t="s">
        <v>777</v>
      </c>
      <c r="H152" s="1" t="s">
        <v>651</v>
      </c>
    </row>
    <row r="153" spans="1:9">
      <c r="A153" s="1" t="s">
        <v>2250</v>
      </c>
      <c r="B153" s="1" t="s">
        <v>433</v>
      </c>
      <c r="C153" s="1" t="s">
        <v>2251</v>
      </c>
      <c r="D153" s="1" t="s">
        <v>2252</v>
      </c>
      <c r="E153" s="1" t="s">
        <v>2253</v>
      </c>
      <c r="F153" s="1" t="s">
        <v>3469</v>
      </c>
      <c r="G153" s="1" t="s">
        <v>667</v>
      </c>
      <c r="H153" s="1" t="s">
        <v>651</v>
      </c>
      <c r="I153" s="1" t="s">
        <v>652</v>
      </c>
    </row>
    <row r="154" spans="1:9">
      <c r="A154" s="1" t="s">
        <v>1296</v>
      </c>
      <c r="B154" s="1" t="s">
        <v>171</v>
      </c>
      <c r="C154" s="1" t="s">
        <v>1297</v>
      </c>
      <c r="D154" s="1" t="s">
        <v>792</v>
      </c>
      <c r="E154" s="1" t="s">
        <v>1298</v>
      </c>
      <c r="F154" s="1" t="s">
        <v>3469</v>
      </c>
      <c r="G154" s="1" t="s">
        <v>685</v>
      </c>
      <c r="H154" s="1" t="s">
        <v>651</v>
      </c>
    </row>
    <row r="155" spans="1:9">
      <c r="A155" s="1" t="s">
        <v>1616</v>
      </c>
      <c r="B155" s="1" t="s">
        <v>171</v>
      </c>
      <c r="C155" s="1" t="s">
        <v>1297</v>
      </c>
      <c r="D155" s="1" t="s">
        <v>792</v>
      </c>
      <c r="E155" s="1" t="s">
        <v>1617</v>
      </c>
      <c r="F155" s="1" t="s">
        <v>3469</v>
      </c>
      <c r="G155" s="1" t="s">
        <v>685</v>
      </c>
      <c r="H155" s="1" t="s">
        <v>651</v>
      </c>
    </row>
    <row r="156" spans="1:9">
      <c r="A156" s="1" t="s">
        <v>2138</v>
      </c>
      <c r="B156" s="1" t="s">
        <v>400</v>
      </c>
      <c r="C156" s="1" t="s">
        <v>2139</v>
      </c>
      <c r="D156" s="1" t="s">
        <v>1301</v>
      </c>
      <c r="E156" s="1" t="s">
        <v>2140</v>
      </c>
      <c r="F156" s="1" t="s">
        <v>3469</v>
      </c>
      <c r="G156" s="1" t="s">
        <v>1074</v>
      </c>
      <c r="H156" s="1" t="s">
        <v>651</v>
      </c>
    </row>
    <row r="157" spans="1:9">
      <c r="A157" s="1" t="s">
        <v>2198</v>
      </c>
      <c r="B157" s="1" t="s">
        <v>400</v>
      </c>
      <c r="C157" s="1" t="s">
        <v>2139</v>
      </c>
      <c r="D157" s="1" t="s">
        <v>1301</v>
      </c>
      <c r="E157" s="1" t="s">
        <v>2199</v>
      </c>
      <c r="F157" s="1" t="s">
        <v>3469</v>
      </c>
      <c r="G157" s="1" t="s">
        <v>1074</v>
      </c>
      <c r="H157" s="1" t="s">
        <v>651</v>
      </c>
    </row>
    <row r="158" spans="1:9">
      <c r="A158" s="1" t="s">
        <v>1971</v>
      </c>
      <c r="B158" s="1" t="s">
        <v>354</v>
      </c>
      <c r="C158" s="1" t="s">
        <v>1972</v>
      </c>
      <c r="D158" s="1" t="s">
        <v>1973</v>
      </c>
      <c r="E158" s="1" t="s">
        <v>1974</v>
      </c>
      <c r="F158" s="1" t="s">
        <v>3469</v>
      </c>
      <c r="G158" s="1" t="s">
        <v>680</v>
      </c>
      <c r="H158" s="1" t="s">
        <v>651</v>
      </c>
      <c r="I158" s="1" t="s">
        <v>691</v>
      </c>
    </row>
    <row r="159" spans="1:9">
      <c r="A159" s="1" t="s">
        <v>1493</v>
      </c>
      <c r="B159" s="1" t="s">
        <v>224</v>
      </c>
      <c r="C159" s="1" t="s">
        <v>1494</v>
      </c>
      <c r="D159" s="1" t="s">
        <v>1258</v>
      </c>
      <c r="E159" s="1" t="s">
        <v>1495</v>
      </c>
      <c r="F159" s="1" t="s">
        <v>3469</v>
      </c>
      <c r="G159" s="1" t="s">
        <v>1074</v>
      </c>
      <c r="H159" s="1" t="s">
        <v>651</v>
      </c>
    </row>
    <row r="160" spans="1:9">
      <c r="A160" s="1" t="s">
        <v>2324</v>
      </c>
      <c r="B160" s="1" t="s">
        <v>224</v>
      </c>
      <c r="C160" s="1" t="s">
        <v>1494</v>
      </c>
      <c r="D160" s="1" t="s">
        <v>1258</v>
      </c>
      <c r="E160" s="1" t="s">
        <v>2325</v>
      </c>
      <c r="F160" s="1" t="s">
        <v>3469</v>
      </c>
      <c r="G160" s="1" t="s">
        <v>1074</v>
      </c>
      <c r="H160" s="1" t="s">
        <v>651</v>
      </c>
    </row>
    <row r="161" spans="1:9">
      <c r="A161" s="1" t="s">
        <v>2792</v>
      </c>
      <c r="B161" s="1" t="s">
        <v>576</v>
      </c>
      <c r="C161" s="1" t="s">
        <v>2793</v>
      </c>
      <c r="D161" s="1" t="s">
        <v>2794</v>
      </c>
      <c r="E161" s="1" t="s">
        <v>2795</v>
      </c>
      <c r="F161" s="1" t="s">
        <v>3469</v>
      </c>
      <c r="G161" s="1" t="s">
        <v>2740</v>
      </c>
      <c r="H161" s="1" t="s">
        <v>651</v>
      </c>
    </row>
    <row r="162" spans="1:9">
      <c r="A162" s="1" t="s">
        <v>2423</v>
      </c>
      <c r="B162" s="1" t="s">
        <v>477</v>
      </c>
      <c r="C162" s="1" t="s">
        <v>2424</v>
      </c>
      <c r="D162" s="1" t="s">
        <v>762</v>
      </c>
      <c r="E162" s="1" t="s">
        <v>2425</v>
      </c>
      <c r="F162" s="1" t="s">
        <v>3469</v>
      </c>
      <c r="G162" s="1" t="s">
        <v>657</v>
      </c>
      <c r="H162" s="1" t="s">
        <v>651</v>
      </c>
    </row>
    <row r="163" spans="1:9">
      <c r="A163" s="1" t="s">
        <v>1964</v>
      </c>
      <c r="B163" s="1" t="s">
        <v>352</v>
      </c>
      <c r="C163" s="1" t="s">
        <v>1965</v>
      </c>
      <c r="D163" s="1" t="s">
        <v>792</v>
      </c>
      <c r="E163" s="1" t="s">
        <v>1966</v>
      </c>
      <c r="F163" s="1" t="s">
        <v>3469</v>
      </c>
      <c r="G163" s="1" t="s">
        <v>680</v>
      </c>
      <c r="H163" s="1" t="s">
        <v>651</v>
      </c>
      <c r="I163" s="1" t="s">
        <v>691</v>
      </c>
    </row>
    <row r="164" spans="1:9">
      <c r="A164" s="1" t="s">
        <v>1761</v>
      </c>
      <c r="B164" s="1" t="s">
        <v>295</v>
      </c>
      <c r="C164" s="1" t="s">
        <v>1762</v>
      </c>
      <c r="D164" s="1" t="s">
        <v>968</v>
      </c>
      <c r="E164" s="1" t="s">
        <v>1763</v>
      </c>
      <c r="F164" s="1" t="s">
        <v>3469</v>
      </c>
      <c r="G164" s="1" t="s">
        <v>837</v>
      </c>
      <c r="H164" s="1" t="s">
        <v>651</v>
      </c>
      <c r="I164" s="1" t="s">
        <v>691</v>
      </c>
    </row>
    <row r="165" spans="1:9">
      <c r="A165" s="1" t="s">
        <v>2172</v>
      </c>
      <c r="B165" s="1" t="s">
        <v>411</v>
      </c>
      <c r="C165" s="1" t="s">
        <v>2173</v>
      </c>
      <c r="D165" s="1" t="s">
        <v>2174</v>
      </c>
      <c r="E165" s="1" t="s">
        <v>2175</v>
      </c>
      <c r="F165" s="1" t="s">
        <v>3469</v>
      </c>
      <c r="G165" s="1" t="s">
        <v>837</v>
      </c>
      <c r="H165" s="1" t="s">
        <v>651</v>
      </c>
      <c r="I165" s="1" t="s">
        <v>691</v>
      </c>
    </row>
    <row r="166" spans="1:9">
      <c r="A166" s="1" t="s">
        <v>2134</v>
      </c>
      <c r="B166" s="1" t="s">
        <v>399</v>
      </c>
      <c r="C166" s="1" t="s">
        <v>2135</v>
      </c>
      <c r="D166" s="1" t="s">
        <v>2136</v>
      </c>
      <c r="E166" s="1" t="s">
        <v>2137</v>
      </c>
      <c r="F166" s="1" t="s">
        <v>3469</v>
      </c>
      <c r="G166" s="1" t="s">
        <v>662</v>
      </c>
      <c r="H166" s="1" t="s">
        <v>651</v>
      </c>
    </row>
    <row r="167" spans="1:9">
      <c r="A167" s="1" t="s">
        <v>1716</v>
      </c>
      <c r="B167" s="1" t="s">
        <v>282</v>
      </c>
      <c r="C167" s="1" t="s">
        <v>1717</v>
      </c>
      <c r="D167" s="1" t="s">
        <v>1718</v>
      </c>
      <c r="E167" s="1" t="s">
        <v>1719</v>
      </c>
      <c r="F167" s="1" t="s">
        <v>3469</v>
      </c>
      <c r="G167" s="1" t="s">
        <v>738</v>
      </c>
      <c r="H167" s="1" t="s">
        <v>651</v>
      </c>
    </row>
    <row r="168" spans="1:9">
      <c r="A168" s="1" t="s">
        <v>2694</v>
      </c>
      <c r="B168" s="1" t="s">
        <v>551</v>
      </c>
      <c r="C168" s="1" t="s">
        <v>2695</v>
      </c>
      <c r="D168" s="1" t="s">
        <v>2696</v>
      </c>
      <c r="E168" s="1" t="s">
        <v>2697</v>
      </c>
      <c r="F168" s="1" t="s">
        <v>3483</v>
      </c>
      <c r="G168" s="1" t="s">
        <v>2669</v>
      </c>
      <c r="H168" s="1" t="s">
        <v>651</v>
      </c>
      <c r="I168" s="1" t="s">
        <v>691</v>
      </c>
    </row>
    <row r="169" spans="1:9">
      <c r="A169" s="1" t="s">
        <v>2875</v>
      </c>
      <c r="B169" s="1" t="s">
        <v>598</v>
      </c>
      <c r="C169" s="1" t="s">
        <v>2695</v>
      </c>
      <c r="D169" s="1" t="s">
        <v>2876</v>
      </c>
      <c r="E169" s="1" t="s">
        <v>2877</v>
      </c>
      <c r="F169" s="1" t="s">
        <v>3479</v>
      </c>
      <c r="G169" s="1" t="s">
        <v>2838</v>
      </c>
      <c r="H169" s="1" t="s">
        <v>651</v>
      </c>
      <c r="I169" s="1" t="s">
        <v>691</v>
      </c>
    </row>
    <row r="170" spans="1:9">
      <c r="A170" s="1" t="s">
        <v>730</v>
      </c>
      <c r="B170" s="1" t="s">
        <v>20</v>
      </c>
      <c r="C170" s="1" t="s">
        <v>731</v>
      </c>
      <c r="D170" s="1" t="s">
        <v>732</v>
      </c>
      <c r="E170" s="1" t="s">
        <v>733</v>
      </c>
      <c r="F170" s="1" t="s">
        <v>3469</v>
      </c>
      <c r="G170" s="1" t="s">
        <v>650</v>
      </c>
      <c r="H170" s="1" t="s">
        <v>651</v>
      </c>
    </row>
    <row r="171" spans="1:9">
      <c r="A171" s="1" t="s">
        <v>1808</v>
      </c>
      <c r="B171" s="1" t="s">
        <v>309</v>
      </c>
      <c r="C171" s="1" t="s">
        <v>1809</v>
      </c>
      <c r="D171" s="1" t="s">
        <v>1810</v>
      </c>
      <c r="E171" s="1" t="s">
        <v>1811</v>
      </c>
      <c r="F171" s="1" t="s">
        <v>3469</v>
      </c>
      <c r="G171" s="1" t="s">
        <v>680</v>
      </c>
      <c r="H171" s="1" t="s">
        <v>651</v>
      </c>
      <c r="I171" s="1" t="s">
        <v>691</v>
      </c>
    </row>
    <row r="172" spans="1:9">
      <c r="A172" s="1" t="s">
        <v>1456</v>
      </c>
      <c r="B172" s="1" t="s">
        <v>3536</v>
      </c>
      <c r="C172" s="1" t="s">
        <v>1578</v>
      </c>
      <c r="D172" s="1" t="s">
        <v>655</v>
      </c>
      <c r="E172" s="1" t="s">
        <v>1457</v>
      </c>
      <c r="F172" s="1" t="s">
        <v>3469</v>
      </c>
      <c r="G172" s="1" t="s">
        <v>738</v>
      </c>
      <c r="H172" s="1" t="s">
        <v>651</v>
      </c>
      <c r="I172" s="1" t="s">
        <v>1458</v>
      </c>
    </row>
    <row r="173" spans="1:9">
      <c r="A173" s="1" t="s">
        <v>1879</v>
      </c>
      <c r="B173" s="1" t="s">
        <v>3536</v>
      </c>
      <c r="C173" s="1" t="s">
        <v>1578</v>
      </c>
      <c r="D173" s="1" t="s">
        <v>655</v>
      </c>
      <c r="E173" s="1" t="s">
        <v>1880</v>
      </c>
      <c r="F173" s="1" t="s">
        <v>3469</v>
      </c>
      <c r="G173" s="1" t="s">
        <v>738</v>
      </c>
      <c r="H173" s="1" t="s">
        <v>651</v>
      </c>
      <c r="I173" s="1" t="s">
        <v>1458</v>
      </c>
    </row>
    <row r="174" spans="1:9">
      <c r="A174" s="1" t="s">
        <v>1552</v>
      </c>
      <c r="B174" s="1" t="s">
        <v>238</v>
      </c>
      <c r="C174" s="1" t="s">
        <v>1553</v>
      </c>
      <c r="D174" s="1" t="s">
        <v>1122</v>
      </c>
      <c r="E174" s="1" t="s">
        <v>1554</v>
      </c>
      <c r="F174" s="1" t="s">
        <v>3469</v>
      </c>
      <c r="G174" s="1" t="s">
        <v>837</v>
      </c>
      <c r="H174" s="1" t="s">
        <v>651</v>
      </c>
      <c r="I174" s="1" t="s">
        <v>1555</v>
      </c>
    </row>
    <row r="175" spans="1:9">
      <c r="A175" s="1" t="s">
        <v>1939</v>
      </c>
      <c r="B175" s="1" t="s">
        <v>238</v>
      </c>
      <c r="C175" s="1" t="s">
        <v>1553</v>
      </c>
      <c r="D175" s="1" t="s">
        <v>1122</v>
      </c>
      <c r="E175" s="1" t="s">
        <v>1940</v>
      </c>
      <c r="F175" s="1" t="s">
        <v>3469</v>
      </c>
      <c r="G175" s="1" t="s">
        <v>837</v>
      </c>
      <c r="H175" s="1" t="s">
        <v>651</v>
      </c>
      <c r="I175" s="1" t="s">
        <v>1555</v>
      </c>
    </row>
    <row r="176" spans="1:9">
      <c r="A176" s="1" t="s">
        <v>1068</v>
      </c>
      <c r="B176" s="1" t="s">
        <v>107</v>
      </c>
      <c r="C176" s="1" t="s">
        <v>1069</v>
      </c>
      <c r="D176" s="1" t="s">
        <v>655</v>
      </c>
      <c r="E176" s="1" t="s">
        <v>1070</v>
      </c>
      <c r="F176" s="1" t="s">
        <v>3469</v>
      </c>
      <c r="G176" s="1" t="s">
        <v>738</v>
      </c>
      <c r="H176" s="1" t="s">
        <v>651</v>
      </c>
    </row>
    <row r="177" spans="1:9">
      <c r="A177" s="1" t="s">
        <v>2332</v>
      </c>
      <c r="B177" s="1" t="s">
        <v>107</v>
      </c>
      <c r="C177" s="1" t="s">
        <v>1069</v>
      </c>
      <c r="D177" s="1" t="s">
        <v>655</v>
      </c>
      <c r="E177" s="1" t="s">
        <v>2333</v>
      </c>
      <c r="F177" s="1" t="s">
        <v>3469</v>
      </c>
      <c r="G177" s="1" t="s">
        <v>738</v>
      </c>
      <c r="H177" s="1" t="s">
        <v>651</v>
      </c>
    </row>
    <row r="178" spans="1:9">
      <c r="A178" s="1" t="s">
        <v>2521</v>
      </c>
      <c r="B178" s="1" t="s">
        <v>505</v>
      </c>
      <c r="C178" s="1" t="s">
        <v>2522</v>
      </c>
      <c r="D178" s="1" t="s">
        <v>2442</v>
      </c>
      <c r="E178" s="1" t="s">
        <v>2523</v>
      </c>
      <c r="F178" s="1" t="s">
        <v>3537</v>
      </c>
      <c r="G178" s="1" t="s">
        <v>2488</v>
      </c>
      <c r="H178" s="1" t="s">
        <v>651</v>
      </c>
      <c r="I178" s="1" t="s">
        <v>691</v>
      </c>
    </row>
    <row r="179" spans="1:9">
      <c r="A179" s="1" t="s">
        <v>2279</v>
      </c>
      <c r="B179" s="1" t="s">
        <v>439</v>
      </c>
      <c r="C179" s="1" t="s">
        <v>2280</v>
      </c>
      <c r="D179" s="1" t="s">
        <v>2281</v>
      </c>
      <c r="E179" s="1" t="s">
        <v>2282</v>
      </c>
      <c r="F179" s="1" t="s">
        <v>3469</v>
      </c>
      <c r="G179" s="1" t="s">
        <v>690</v>
      </c>
      <c r="H179" s="1" t="s">
        <v>651</v>
      </c>
    </row>
    <row r="180" spans="1:9">
      <c r="A180" s="1" t="s">
        <v>2863</v>
      </c>
      <c r="B180" s="1" t="s">
        <v>595</v>
      </c>
      <c r="C180" s="1" t="s">
        <v>2864</v>
      </c>
      <c r="D180" s="1" t="s">
        <v>2865</v>
      </c>
      <c r="E180" s="1" t="s">
        <v>2866</v>
      </c>
      <c r="F180" s="1" t="s">
        <v>3538</v>
      </c>
      <c r="G180" s="1" t="s">
        <v>2838</v>
      </c>
      <c r="H180" s="1" t="s">
        <v>651</v>
      </c>
      <c r="I180" s="1" t="s">
        <v>691</v>
      </c>
    </row>
    <row r="181" spans="1:9">
      <c r="A181" s="1" t="s">
        <v>1459</v>
      </c>
      <c r="B181" s="1" t="s">
        <v>3539</v>
      </c>
      <c r="C181" s="1" t="s">
        <v>3540</v>
      </c>
      <c r="D181" s="1" t="s">
        <v>655</v>
      </c>
      <c r="E181" s="1" t="s">
        <v>1460</v>
      </c>
      <c r="F181" s="1" t="s">
        <v>3469</v>
      </c>
      <c r="G181" s="1" t="s">
        <v>837</v>
      </c>
      <c r="H181" s="1" t="s">
        <v>651</v>
      </c>
      <c r="I181" s="1" t="s">
        <v>1440</v>
      </c>
    </row>
    <row r="182" spans="1:9">
      <c r="A182" s="1" t="s">
        <v>963</v>
      </c>
      <c r="B182" s="1" t="s">
        <v>78</v>
      </c>
      <c r="C182" s="1" t="s">
        <v>964</v>
      </c>
      <c r="D182" s="1" t="s">
        <v>792</v>
      </c>
      <c r="E182" s="1" t="s">
        <v>965</v>
      </c>
      <c r="F182" s="1" t="s">
        <v>3469</v>
      </c>
      <c r="G182" s="1" t="s">
        <v>680</v>
      </c>
      <c r="H182" s="1" t="s">
        <v>651</v>
      </c>
    </row>
    <row r="183" spans="1:9">
      <c r="A183" s="1" t="s">
        <v>1759</v>
      </c>
      <c r="B183" s="1" t="s">
        <v>294</v>
      </c>
      <c r="C183" s="1" t="s">
        <v>1760</v>
      </c>
      <c r="D183" s="1" t="s">
        <v>792</v>
      </c>
      <c r="E183" s="1" t="s">
        <v>965</v>
      </c>
      <c r="F183" s="1" t="s">
        <v>3469</v>
      </c>
      <c r="G183" s="1" t="s">
        <v>680</v>
      </c>
      <c r="H183" s="1" t="s">
        <v>651</v>
      </c>
      <c r="I183" s="1" t="s">
        <v>691</v>
      </c>
    </row>
    <row r="184" spans="1:9">
      <c r="A184" s="1" t="s">
        <v>1714</v>
      </c>
      <c r="B184" s="1" t="s">
        <v>214</v>
      </c>
      <c r="C184" s="1" t="s">
        <v>1453</v>
      </c>
      <c r="D184" s="1" t="s">
        <v>1454</v>
      </c>
      <c r="E184" s="1" t="s">
        <v>1715</v>
      </c>
      <c r="F184" s="1" t="s">
        <v>3469</v>
      </c>
      <c r="G184" s="1" t="s">
        <v>837</v>
      </c>
      <c r="H184" s="1" t="s">
        <v>651</v>
      </c>
      <c r="I184" s="1" t="s">
        <v>1440</v>
      </c>
    </row>
    <row r="185" spans="1:9">
      <c r="A185" s="1" t="s">
        <v>1452</v>
      </c>
      <c r="B185" s="1" t="s">
        <v>214</v>
      </c>
      <c r="C185" s="1" t="s">
        <v>1453</v>
      </c>
      <c r="D185" s="1" t="s">
        <v>1454</v>
      </c>
      <c r="E185" s="1" t="s">
        <v>1455</v>
      </c>
      <c r="F185" s="1" t="s">
        <v>3469</v>
      </c>
      <c r="G185" s="1" t="s">
        <v>837</v>
      </c>
      <c r="H185" s="1" t="s">
        <v>651</v>
      </c>
      <c r="I185" s="1" t="s">
        <v>1440</v>
      </c>
    </row>
    <row r="186" spans="1:9">
      <c r="A186" s="1" t="s">
        <v>2492</v>
      </c>
      <c r="B186" s="1" t="s">
        <v>496</v>
      </c>
      <c r="C186" s="1" t="s">
        <v>2493</v>
      </c>
      <c r="D186" s="1" t="s">
        <v>961</v>
      </c>
      <c r="E186" s="1" t="s">
        <v>2494</v>
      </c>
      <c r="F186" s="1" t="s">
        <v>3541</v>
      </c>
      <c r="G186" s="1" t="s">
        <v>2436</v>
      </c>
      <c r="H186" s="1" t="s">
        <v>651</v>
      </c>
      <c r="I186" s="1" t="s">
        <v>691</v>
      </c>
    </row>
    <row r="187" spans="1:9">
      <c r="A187" s="1" t="s">
        <v>2799</v>
      </c>
      <c r="B187" s="1" t="s">
        <v>578</v>
      </c>
      <c r="C187" s="1" t="s">
        <v>2800</v>
      </c>
      <c r="D187" s="1" t="s">
        <v>2801</v>
      </c>
      <c r="E187" s="1" t="s">
        <v>2802</v>
      </c>
      <c r="F187" s="1" t="s">
        <v>3469</v>
      </c>
      <c r="G187" s="1" t="s">
        <v>2740</v>
      </c>
      <c r="H187" s="1" t="s">
        <v>651</v>
      </c>
    </row>
    <row r="188" spans="1:9">
      <c r="A188" s="1" t="s">
        <v>2803</v>
      </c>
      <c r="B188" s="1" t="s">
        <v>579</v>
      </c>
      <c r="C188" s="1" t="s">
        <v>2804</v>
      </c>
      <c r="D188" s="1" t="s">
        <v>2801</v>
      </c>
      <c r="E188" s="1" t="s">
        <v>2805</v>
      </c>
      <c r="F188" s="1" t="s">
        <v>3469</v>
      </c>
      <c r="G188" s="1" t="s">
        <v>2740</v>
      </c>
      <c r="H188" s="1" t="s">
        <v>651</v>
      </c>
    </row>
    <row r="189" spans="1:9">
      <c r="A189" s="1" t="s">
        <v>1755</v>
      </c>
      <c r="B189" s="1" t="s">
        <v>293</v>
      </c>
      <c r="C189" s="1" t="s">
        <v>1756</v>
      </c>
      <c r="D189" s="1" t="s">
        <v>1757</v>
      </c>
      <c r="E189" s="1" t="s">
        <v>1758</v>
      </c>
      <c r="F189" s="1" t="s">
        <v>3469</v>
      </c>
      <c r="G189" s="1" t="s">
        <v>764</v>
      </c>
      <c r="H189" s="1" t="s">
        <v>651</v>
      </c>
      <c r="I189" s="1" t="s">
        <v>691</v>
      </c>
    </row>
    <row r="190" spans="1:9">
      <c r="A190" s="1" t="s">
        <v>2495</v>
      </c>
      <c r="B190" s="1" t="s">
        <v>497</v>
      </c>
      <c r="C190" s="1" t="s">
        <v>2496</v>
      </c>
      <c r="D190" s="1" t="s">
        <v>1757</v>
      </c>
      <c r="E190" s="1" t="s">
        <v>2497</v>
      </c>
      <c r="F190" s="1" t="s">
        <v>3469</v>
      </c>
      <c r="G190" s="1" t="s">
        <v>680</v>
      </c>
      <c r="H190" s="1" t="s">
        <v>651</v>
      </c>
    </row>
    <row r="191" spans="1:9">
      <c r="A191" s="1" t="s">
        <v>2432</v>
      </c>
      <c r="B191" s="1" t="s">
        <v>480</v>
      </c>
      <c r="C191" s="1" t="s">
        <v>2433</v>
      </c>
      <c r="D191" s="1" t="s">
        <v>2434</v>
      </c>
      <c r="E191" s="1" t="s">
        <v>2435</v>
      </c>
      <c r="F191" s="1" t="s">
        <v>3480</v>
      </c>
      <c r="G191" s="1" t="s">
        <v>2436</v>
      </c>
      <c r="H191" s="1" t="s">
        <v>651</v>
      </c>
      <c r="I191" s="1" t="s">
        <v>691</v>
      </c>
    </row>
    <row r="192" spans="1:9">
      <c r="A192" s="1" t="s">
        <v>2544</v>
      </c>
      <c r="B192" s="1" t="s">
        <v>512</v>
      </c>
      <c r="C192" s="1" t="s">
        <v>2545</v>
      </c>
      <c r="D192" s="1" t="s">
        <v>2546</v>
      </c>
      <c r="E192" s="1" t="s">
        <v>2547</v>
      </c>
      <c r="F192" s="1" t="s">
        <v>3542</v>
      </c>
      <c r="G192" s="1" t="s">
        <v>2543</v>
      </c>
      <c r="H192" s="1" t="s">
        <v>651</v>
      </c>
      <c r="I192" s="1" t="s">
        <v>2458</v>
      </c>
    </row>
    <row r="193" spans="1:9">
      <c r="A193" s="1" t="s">
        <v>2564</v>
      </c>
      <c r="B193" s="1" t="s">
        <v>517</v>
      </c>
      <c r="C193" s="1" t="s">
        <v>2565</v>
      </c>
      <c r="D193" s="1" t="s">
        <v>2566</v>
      </c>
      <c r="E193" s="1" t="s">
        <v>2567</v>
      </c>
      <c r="F193" s="1" t="s">
        <v>3475</v>
      </c>
      <c r="G193" s="1" t="s">
        <v>2568</v>
      </c>
      <c r="H193" s="1" t="s">
        <v>651</v>
      </c>
      <c r="I193" s="1" t="s">
        <v>691</v>
      </c>
    </row>
    <row r="194" spans="1:9">
      <c r="A194" s="1" t="s">
        <v>2306</v>
      </c>
      <c r="B194" s="1" t="s">
        <v>446</v>
      </c>
      <c r="C194" s="1" t="s">
        <v>2307</v>
      </c>
      <c r="D194" s="1" t="s">
        <v>2308</v>
      </c>
      <c r="E194" s="1" t="s">
        <v>2309</v>
      </c>
      <c r="F194" s="1" t="s">
        <v>3469</v>
      </c>
      <c r="G194" s="1" t="s">
        <v>777</v>
      </c>
      <c r="H194" s="1" t="s">
        <v>651</v>
      </c>
    </row>
    <row r="195" spans="1:9">
      <c r="A195" s="1" t="s">
        <v>2524</v>
      </c>
      <c r="B195" s="1" t="s">
        <v>506</v>
      </c>
      <c r="C195" s="1" t="s">
        <v>2525</v>
      </c>
      <c r="D195" s="1" t="s">
        <v>2281</v>
      </c>
      <c r="E195" s="1" t="s">
        <v>2526</v>
      </c>
      <c r="F195" s="1" t="s">
        <v>3469</v>
      </c>
      <c r="G195" s="1" t="s">
        <v>657</v>
      </c>
      <c r="H195" s="1" t="s">
        <v>651</v>
      </c>
    </row>
    <row r="196" spans="1:9">
      <c r="A196" s="1" t="s">
        <v>1989</v>
      </c>
      <c r="B196" s="1" t="s">
        <v>359</v>
      </c>
      <c r="C196" s="1" t="s">
        <v>1990</v>
      </c>
      <c r="D196" s="1" t="s">
        <v>1991</v>
      </c>
      <c r="E196" s="1" t="s">
        <v>1992</v>
      </c>
      <c r="F196" s="1" t="s">
        <v>3469</v>
      </c>
      <c r="G196" s="1" t="s">
        <v>680</v>
      </c>
      <c r="H196" s="1" t="s">
        <v>651</v>
      </c>
      <c r="I196" s="1" t="s">
        <v>691</v>
      </c>
    </row>
    <row r="197" spans="1:9">
      <c r="A197" s="1" t="s">
        <v>2417</v>
      </c>
      <c r="B197" s="1" t="s">
        <v>475</v>
      </c>
      <c r="C197" s="1" t="s">
        <v>2418</v>
      </c>
      <c r="D197" s="1" t="s">
        <v>927</v>
      </c>
      <c r="E197" s="1" t="s">
        <v>2419</v>
      </c>
      <c r="F197" s="1" t="s">
        <v>3469</v>
      </c>
      <c r="G197" s="1" t="s">
        <v>667</v>
      </c>
      <c r="H197" s="1" t="s">
        <v>651</v>
      </c>
    </row>
    <row r="198" spans="1:9">
      <c r="A198" s="1" t="s">
        <v>2503</v>
      </c>
      <c r="B198" s="1" t="s">
        <v>500</v>
      </c>
      <c r="C198" s="1" t="s">
        <v>2504</v>
      </c>
      <c r="D198" s="1" t="s">
        <v>2505</v>
      </c>
      <c r="E198" s="1" t="s">
        <v>2506</v>
      </c>
      <c r="F198" s="1" t="s">
        <v>3543</v>
      </c>
      <c r="G198" s="1" t="s">
        <v>2488</v>
      </c>
      <c r="H198" s="1" t="s">
        <v>651</v>
      </c>
      <c r="I198" s="1" t="s">
        <v>2458</v>
      </c>
    </row>
    <row r="199" spans="1:9">
      <c r="A199" s="1" t="s">
        <v>989</v>
      </c>
      <c r="B199" s="1" t="s">
        <v>85</v>
      </c>
      <c r="C199" s="1" t="s">
        <v>990</v>
      </c>
      <c r="D199" s="1" t="s">
        <v>991</v>
      </c>
      <c r="E199" s="1" t="s">
        <v>992</v>
      </c>
      <c r="F199" s="1" t="s">
        <v>3469</v>
      </c>
      <c r="G199" s="1" t="s">
        <v>690</v>
      </c>
      <c r="H199" s="1" t="s">
        <v>651</v>
      </c>
    </row>
    <row r="200" spans="1:9">
      <c r="A200" s="1" t="s">
        <v>1020</v>
      </c>
      <c r="B200" s="1" t="s">
        <v>94</v>
      </c>
      <c r="C200" s="1" t="s">
        <v>1021</v>
      </c>
      <c r="D200" s="1" t="s">
        <v>1022</v>
      </c>
      <c r="E200" s="1" t="s">
        <v>1023</v>
      </c>
      <c r="F200" s="1" t="s">
        <v>3469</v>
      </c>
      <c r="G200" s="1" t="s">
        <v>667</v>
      </c>
      <c r="H200" s="1" t="s">
        <v>651</v>
      </c>
    </row>
    <row r="201" spans="1:9">
      <c r="A201" s="1" t="s">
        <v>1006</v>
      </c>
      <c r="B201" s="1" t="s">
        <v>90</v>
      </c>
      <c r="C201" s="1" t="s">
        <v>1007</v>
      </c>
      <c r="D201" s="1" t="s">
        <v>927</v>
      </c>
      <c r="E201" s="1" t="s">
        <v>1008</v>
      </c>
      <c r="F201" s="1" t="s">
        <v>3469</v>
      </c>
      <c r="G201" s="1" t="s">
        <v>690</v>
      </c>
      <c r="H201" s="1" t="s">
        <v>651</v>
      </c>
      <c r="I201" s="1" t="s">
        <v>691</v>
      </c>
    </row>
    <row r="202" spans="1:9">
      <c r="A202" s="1" t="s">
        <v>2741</v>
      </c>
      <c r="B202" s="1" t="s">
        <v>563</v>
      </c>
      <c r="C202" s="1" t="s">
        <v>2742</v>
      </c>
      <c r="D202" s="1" t="s">
        <v>2743</v>
      </c>
      <c r="E202" s="1" t="s">
        <v>2744</v>
      </c>
      <c r="F202" s="1" t="s">
        <v>3481</v>
      </c>
      <c r="G202" s="1" t="s">
        <v>2669</v>
      </c>
      <c r="H202" s="1" t="s">
        <v>651</v>
      </c>
      <c r="I202" s="1" t="s">
        <v>691</v>
      </c>
    </row>
    <row r="203" spans="1:9">
      <c r="A203" s="1" t="s">
        <v>2745</v>
      </c>
      <c r="B203" s="1" t="s">
        <v>563</v>
      </c>
      <c r="C203" s="1" t="s">
        <v>2742</v>
      </c>
      <c r="D203" s="1" t="s">
        <v>2743</v>
      </c>
      <c r="E203" s="1" t="s">
        <v>2746</v>
      </c>
      <c r="F203" s="1" t="s">
        <v>3481</v>
      </c>
      <c r="G203" s="1" t="s">
        <v>2669</v>
      </c>
      <c r="H203" s="1" t="s">
        <v>651</v>
      </c>
      <c r="I203" s="1" t="s">
        <v>691</v>
      </c>
    </row>
    <row r="204" spans="1:9">
      <c r="A204" s="1" t="s">
        <v>1351</v>
      </c>
      <c r="B204" s="1" t="s">
        <v>187</v>
      </c>
      <c r="C204" s="1" t="s">
        <v>1352</v>
      </c>
      <c r="D204" s="1" t="s">
        <v>1353</v>
      </c>
      <c r="E204" s="1" t="s">
        <v>1354</v>
      </c>
      <c r="F204" s="1" t="s">
        <v>3469</v>
      </c>
      <c r="G204" s="1" t="s">
        <v>1074</v>
      </c>
      <c r="H204" s="1" t="s">
        <v>651</v>
      </c>
    </row>
    <row r="205" spans="1:9">
      <c r="A205" s="1" t="s">
        <v>2203</v>
      </c>
      <c r="B205" s="1" t="s">
        <v>420</v>
      </c>
      <c r="C205" s="1" t="s">
        <v>2204</v>
      </c>
      <c r="D205" s="1" t="s">
        <v>2205</v>
      </c>
      <c r="E205" s="1" t="s">
        <v>2206</v>
      </c>
      <c r="F205" s="1" t="s">
        <v>3469</v>
      </c>
      <c r="G205" s="1" t="s">
        <v>764</v>
      </c>
      <c r="H205" s="1" t="s">
        <v>651</v>
      </c>
      <c r="I205" s="1" t="s">
        <v>691</v>
      </c>
    </row>
    <row r="206" spans="1:9">
      <c r="A206" s="1" t="s">
        <v>1200</v>
      </c>
      <c r="B206" s="1" t="s">
        <v>145</v>
      </c>
      <c r="C206" s="1" t="s">
        <v>1201</v>
      </c>
      <c r="D206" s="1" t="s">
        <v>1202</v>
      </c>
      <c r="E206" s="1" t="s">
        <v>1203</v>
      </c>
      <c r="F206" s="1" t="s">
        <v>3469</v>
      </c>
      <c r="G206" s="1" t="s">
        <v>650</v>
      </c>
      <c r="H206" s="1" t="s">
        <v>651</v>
      </c>
    </row>
    <row r="207" spans="1:9">
      <c r="A207" s="1" t="s">
        <v>1683</v>
      </c>
      <c r="B207" s="1" t="s">
        <v>273</v>
      </c>
      <c r="C207" s="1" t="s">
        <v>669</v>
      </c>
      <c r="D207" s="1" t="s">
        <v>1684</v>
      </c>
      <c r="E207" s="1" t="s">
        <v>1685</v>
      </c>
      <c r="F207" s="1" t="s">
        <v>3469</v>
      </c>
      <c r="G207" s="1" t="s">
        <v>837</v>
      </c>
      <c r="H207" s="1" t="s">
        <v>651</v>
      </c>
      <c r="I207" s="1" t="s">
        <v>1440</v>
      </c>
    </row>
    <row r="208" spans="1:9">
      <c r="A208" s="1" t="s">
        <v>1513</v>
      </c>
      <c r="B208" s="1" t="s">
        <v>229</v>
      </c>
      <c r="C208" s="1" t="s">
        <v>669</v>
      </c>
      <c r="D208" s="1" t="s">
        <v>1514</v>
      </c>
      <c r="E208" s="1" t="s">
        <v>1515</v>
      </c>
      <c r="F208" s="1" t="s">
        <v>3469</v>
      </c>
      <c r="G208" s="1" t="s">
        <v>889</v>
      </c>
      <c r="H208" s="1" t="s">
        <v>651</v>
      </c>
    </row>
    <row r="209" spans="1:9">
      <c r="A209" s="1" t="s">
        <v>1516</v>
      </c>
      <c r="B209" s="1" t="s">
        <v>229</v>
      </c>
      <c r="C209" s="1" t="s">
        <v>669</v>
      </c>
      <c r="D209" s="1" t="s">
        <v>1514</v>
      </c>
      <c r="E209" s="1" t="s">
        <v>1517</v>
      </c>
      <c r="F209" s="1" t="s">
        <v>3469</v>
      </c>
      <c r="G209" s="1" t="s">
        <v>889</v>
      </c>
      <c r="H209" s="1" t="s">
        <v>651</v>
      </c>
    </row>
    <row r="210" spans="1:9">
      <c r="A210" s="1" t="s">
        <v>2513</v>
      </c>
      <c r="B210" s="1" t="s">
        <v>503</v>
      </c>
      <c r="C210" s="1" t="s">
        <v>2514</v>
      </c>
      <c r="D210" s="1" t="s">
        <v>2515</v>
      </c>
      <c r="E210" s="1" t="s">
        <v>2516</v>
      </c>
      <c r="F210" s="1" t="s">
        <v>3537</v>
      </c>
      <c r="G210" s="1" t="s">
        <v>2488</v>
      </c>
      <c r="H210" s="1" t="s">
        <v>651</v>
      </c>
      <c r="I210" s="1" t="s">
        <v>691</v>
      </c>
    </row>
    <row r="211" spans="1:9">
      <c r="A211" s="1" t="s">
        <v>2618</v>
      </c>
      <c r="B211" s="1" t="s">
        <v>531</v>
      </c>
      <c r="C211" s="1" t="s">
        <v>2619</v>
      </c>
      <c r="D211" s="1" t="s">
        <v>2620</v>
      </c>
      <c r="E211" s="1" t="s">
        <v>2621</v>
      </c>
      <c r="F211" s="1" t="s">
        <v>3473</v>
      </c>
      <c r="G211" s="1" t="s">
        <v>2488</v>
      </c>
      <c r="H211" s="1" t="s">
        <v>651</v>
      </c>
      <c r="I211" s="1" t="s">
        <v>2458</v>
      </c>
    </row>
    <row r="212" spans="1:9">
      <c r="A212" s="1" t="s">
        <v>2756</v>
      </c>
      <c r="B212" s="1" t="s">
        <v>567</v>
      </c>
      <c r="C212" s="1" t="s">
        <v>2757</v>
      </c>
      <c r="D212" s="1" t="s">
        <v>2758</v>
      </c>
      <c r="E212" s="1" t="s">
        <v>2759</v>
      </c>
      <c r="F212" s="1" t="s">
        <v>3469</v>
      </c>
      <c r="G212" s="1" t="s">
        <v>2740</v>
      </c>
      <c r="H212" s="1" t="s">
        <v>651</v>
      </c>
    </row>
    <row r="213" spans="1:9">
      <c r="A213" s="1" t="s">
        <v>936</v>
      </c>
      <c r="B213" s="1" t="s">
        <v>71</v>
      </c>
      <c r="C213" s="1" t="s">
        <v>937</v>
      </c>
      <c r="D213" s="1" t="s">
        <v>938</v>
      </c>
      <c r="E213" s="1" t="s">
        <v>939</v>
      </c>
      <c r="F213" s="1" t="s">
        <v>3469</v>
      </c>
      <c r="G213" s="1" t="s">
        <v>690</v>
      </c>
      <c r="H213" s="1" t="s">
        <v>651</v>
      </c>
      <c r="I213" s="1" t="s">
        <v>691</v>
      </c>
    </row>
    <row r="214" spans="1:9">
      <c r="A214" s="1" t="s">
        <v>882</v>
      </c>
      <c r="B214" s="1" t="s">
        <v>57</v>
      </c>
      <c r="C214" s="1" t="s">
        <v>883</v>
      </c>
      <c r="D214" s="1" t="s">
        <v>884</v>
      </c>
      <c r="E214" s="1" t="s">
        <v>885</v>
      </c>
      <c r="F214" s="1" t="s">
        <v>3469</v>
      </c>
      <c r="G214" s="1" t="s">
        <v>657</v>
      </c>
      <c r="H214" s="1" t="s">
        <v>651</v>
      </c>
    </row>
    <row r="215" spans="1:9">
      <c r="A215" s="1" t="s">
        <v>1400</v>
      </c>
      <c r="B215" s="1" t="s">
        <v>200</v>
      </c>
      <c r="C215" s="1" t="s">
        <v>1401</v>
      </c>
      <c r="D215" s="1" t="s">
        <v>1402</v>
      </c>
      <c r="E215" s="1" t="s">
        <v>1403</v>
      </c>
      <c r="F215" s="1" t="s">
        <v>3469</v>
      </c>
      <c r="G215" s="1" t="s">
        <v>837</v>
      </c>
      <c r="H215" s="1" t="s">
        <v>651</v>
      </c>
    </row>
    <row r="216" spans="1:9">
      <c r="A216" s="1" t="s">
        <v>966</v>
      </c>
      <c r="B216" s="1" t="s">
        <v>79</v>
      </c>
      <c r="C216" s="1" t="s">
        <v>967</v>
      </c>
      <c r="D216" s="1" t="s">
        <v>968</v>
      </c>
      <c r="E216" s="1" t="s">
        <v>969</v>
      </c>
      <c r="F216" s="1" t="s">
        <v>3469</v>
      </c>
      <c r="G216" s="1" t="s">
        <v>777</v>
      </c>
      <c r="H216" s="1" t="s">
        <v>651</v>
      </c>
      <c r="I216" s="1" t="s">
        <v>691</v>
      </c>
    </row>
    <row r="217" spans="1:9">
      <c r="A217" s="1" t="s">
        <v>701</v>
      </c>
      <c r="B217" s="1" t="s">
        <v>13</v>
      </c>
      <c r="C217" s="1" t="s">
        <v>669</v>
      </c>
      <c r="D217" s="1" t="s">
        <v>702</v>
      </c>
      <c r="E217" s="1" t="s">
        <v>703</v>
      </c>
      <c r="F217" s="1" t="s">
        <v>3469</v>
      </c>
      <c r="G217" s="1" t="s">
        <v>704</v>
      </c>
      <c r="H217" s="1" t="s">
        <v>651</v>
      </c>
    </row>
    <row r="218" spans="1:9">
      <c r="A218" s="1" t="s">
        <v>1967</v>
      </c>
      <c r="B218" s="1" t="s">
        <v>353</v>
      </c>
      <c r="C218" s="1" t="s">
        <v>1968</v>
      </c>
      <c r="D218" s="1" t="s">
        <v>1969</v>
      </c>
      <c r="E218" s="1" t="s">
        <v>1970</v>
      </c>
      <c r="F218" s="1" t="s">
        <v>3469</v>
      </c>
      <c r="G218" s="1" t="s">
        <v>662</v>
      </c>
      <c r="H218" s="1" t="s">
        <v>651</v>
      </c>
      <c r="I218" s="1" t="s">
        <v>691</v>
      </c>
    </row>
    <row r="219" spans="1:9">
      <c r="A219" s="1" t="s">
        <v>1276</v>
      </c>
      <c r="B219" s="1" t="s">
        <v>166</v>
      </c>
      <c r="C219" s="1" t="s">
        <v>1277</v>
      </c>
      <c r="D219" s="1" t="s">
        <v>1101</v>
      </c>
      <c r="E219" s="1" t="s">
        <v>1278</v>
      </c>
      <c r="F219" s="1" t="s">
        <v>3469</v>
      </c>
      <c r="G219" s="1" t="s">
        <v>738</v>
      </c>
      <c r="H219" s="1" t="s">
        <v>651</v>
      </c>
    </row>
    <row r="220" spans="1:9">
      <c r="A220" s="1" t="s">
        <v>1303</v>
      </c>
      <c r="B220" s="1" t="s">
        <v>173</v>
      </c>
      <c r="C220" s="1" t="s">
        <v>1304</v>
      </c>
      <c r="D220" s="1" t="s">
        <v>1305</v>
      </c>
      <c r="E220" s="1" t="s">
        <v>1306</v>
      </c>
      <c r="F220" s="1" t="s">
        <v>3469</v>
      </c>
      <c r="G220" s="1" t="s">
        <v>738</v>
      </c>
      <c r="H220" s="1" t="s">
        <v>651</v>
      </c>
    </row>
    <row r="221" spans="1:9">
      <c r="A221" s="1" t="s">
        <v>2277</v>
      </c>
      <c r="B221" s="1" t="s">
        <v>173</v>
      </c>
      <c r="C221" s="1" t="s">
        <v>1304</v>
      </c>
      <c r="D221" s="1" t="s">
        <v>1305</v>
      </c>
      <c r="E221" s="1" t="s">
        <v>2278</v>
      </c>
      <c r="F221" s="1" t="s">
        <v>3469</v>
      </c>
      <c r="G221" s="1" t="s">
        <v>738</v>
      </c>
      <c r="H221" s="1" t="s">
        <v>651</v>
      </c>
    </row>
    <row r="222" spans="1:9">
      <c r="A222" s="1" t="s">
        <v>1532</v>
      </c>
      <c r="B222" s="1" t="s">
        <v>233</v>
      </c>
      <c r="C222" s="1" t="s">
        <v>1533</v>
      </c>
      <c r="D222" s="1" t="s">
        <v>1534</v>
      </c>
      <c r="E222" s="1" t="s">
        <v>1535</v>
      </c>
      <c r="F222" s="1" t="s">
        <v>3469</v>
      </c>
      <c r="G222" s="1" t="s">
        <v>802</v>
      </c>
      <c r="H222" s="1" t="s">
        <v>651</v>
      </c>
    </row>
    <row r="223" spans="1:9">
      <c r="A223" s="1" t="s">
        <v>1526</v>
      </c>
      <c r="B223" s="1" t="s">
        <v>232</v>
      </c>
      <c r="C223" s="1" t="s">
        <v>1527</v>
      </c>
      <c r="D223" s="1" t="s">
        <v>1528</v>
      </c>
      <c r="E223" s="1" t="s">
        <v>1529</v>
      </c>
      <c r="F223" s="1" t="s">
        <v>3469</v>
      </c>
      <c r="G223" s="1" t="s">
        <v>729</v>
      </c>
      <c r="H223" s="1" t="s">
        <v>651</v>
      </c>
    </row>
    <row r="224" spans="1:9">
      <c r="A224" s="1" t="s">
        <v>1530</v>
      </c>
      <c r="B224" s="1" t="s">
        <v>232</v>
      </c>
      <c r="C224" s="1" t="s">
        <v>1527</v>
      </c>
      <c r="D224" s="1" t="s">
        <v>1528</v>
      </c>
      <c r="E224" s="1" t="s">
        <v>1531</v>
      </c>
      <c r="F224" s="1" t="s">
        <v>3469</v>
      </c>
      <c r="G224" s="1" t="s">
        <v>889</v>
      </c>
      <c r="H224" s="1" t="s">
        <v>651</v>
      </c>
    </row>
    <row r="225" spans="1:9">
      <c r="A225" s="1" t="s">
        <v>1227</v>
      </c>
      <c r="B225" s="1" t="s">
        <v>153</v>
      </c>
      <c r="C225" s="1" t="s">
        <v>1228</v>
      </c>
      <c r="D225" s="1" t="s">
        <v>1229</v>
      </c>
      <c r="E225" s="1" t="s">
        <v>1230</v>
      </c>
      <c r="F225" s="1" t="s">
        <v>3469</v>
      </c>
      <c r="G225" s="1" t="s">
        <v>738</v>
      </c>
      <c r="H225" s="1" t="s">
        <v>651</v>
      </c>
    </row>
    <row r="226" spans="1:9">
      <c r="A226" s="1" t="s">
        <v>1082</v>
      </c>
      <c r="B226" s="1" t="s">
        <v>111</v>
      </c>
      <c r="C226" s="1" t="s">
        <v>1083</v>
      </c>
      <c r="D226" s="1" t="s">
        <v>1084</v>
      </c>
      <c r="E226" s="1" t="s">
        <v>1085</v>
      </c>
      <c r="F226" s="1" t="s">
        <v>3469</v>
      </c>
      <c r="G226" s="1" t="s">
        <v>1074</v>
      </c>
      <c r="H226" s="1" t="s">
        <v>651</v>
      </c>
    </row>
    <row r="227" spans="1:9">
      <c r="A227" s="1" t="s">
        <v>2429</v>
      </c>
      <c r="B227" s="1" t="s">
        <v>479</v>
      </c>
      <c r="C227" s="1" t="s">
        <v>669</v>
      </c>
      <c r="D227" s="1" t="s">
        <v>2430</v>
      </c>
      <c r="E227" s="1" t="s">
        <v>2431</v>
      </c>
      <c r="F227" s="1" t="s">
        <v>3469</v>
      </c>
      <c r="G227" s="1" t="s">
        <v>2238</v>
      </c>
      <c r="H227" s="1" t="s">
        <v>651</v>
      </c>
    </row>
    <row r="228" spans="1:9">
      <c r="A228" s="1" t="s">
        <v>1028</v>
      </c>
      <c r="B228" s="1" t="s">
        <v>96</v>
      </c>
      <c r="C228" s="1" t="s">
        <v>1029</v>
      </c>
      <c r="D228" s="1" t="s">
        <v>1030</v>
      </c>
      <c r="E228" s="1" t="s">
        <v>1031</v>
      </c>
      <c r="F228" s="1" t="s">
        <v>3469</v>
      </c>
      <c r="G228" s="1" t="s">
        <v>874</v>
      </c>
      <c r="H228" s="1" t="s">
        <v>651</v>
      </c>
    </row>
    <row r="229" spans="1:9">
      <c r="A229" s="1" t="s">
        <v>1949</v>
      </c>
      <c r="B229" s="1" t="s">
        <v>96</v>
      </c>
      <c r="C229" s="1" t="s">
        <v>1029</v>
      </c>
      <c r="D229" s="1" t="s">
        <v>1030</v>
      </c>
      <c r="E229" s="1" t="s">
        <v>1950</v>
      </c>
      <c r="F229" s="1" t="s">
        <v>3469</v>
      </c>
      <c r="G229" s="1" t="s">
        <v>696</v>
      </c>
      <c r="H229" s="1" t="s">
        <v>651</v>
      </c>
    </row>
    <row r="230" spans="1:9">
      <c r="A230" s="1" t="s">
        <v>1348</v>
      </c>
      <c r="B230" s="1" t="s">
        <v>186</v>
      </c>
      <c r="C230" s="1" t="s">
        <v>669</v>
      </c>
      <c r="D230" s="1" t="s">
        <v>1349</v>
      </c>
      <c r="E230" s="1" t="s">
        <v>1350</v>
      </c>
      <c r="F230" s="1" t="s">
        <v>3469</v>
      </c>
      <c r="G230" s="1" t="s">
        <v>837</v>
      </c>
      <c r="H230" s="1" t="s">
        <v>651</v>
      </c>
    </row>
    <row r="231" spans="1:9">
      <c r="A231" s="1" t="s">
        <v>1360</v>
      </c>
      <c r="B231" s="1" t="s">
        <v>189</v>
      </c>
      <c r="C231" s="1" t="s">
        <v>1361</v>
      </c>
      <c r="D231" s="1" t="s">
        <v>1362</v>
      </c>
      <c r="E231" s="1" t="s">
        <v>1363</v>
      </c>
      <c r="F231" s="1" t="s">
        <v>3469</v>
      </c>
      <c r="G231" s="1" t="s">
        <v>802</v>
      </c>
      <c r="H231" s="1" t="s">
        <v>651</v>
      </c>
    </row>
    <row r="232" spans="1:9">
      <c r="A232" s="1" t="s">
        <v>1629</v>
      </c>
      <c r="B232" s="1" t="s">
        <v>189</v>
      </c>
      <c r="C232" s="1" t="s">
        <v>1361</v>
      </c>
      <c r="D232" s="1" t="s">
        <v>1362</v>
      </c>
      <c r="E232" s="1" t="s">
        <v>1630</v>
      </c>
      <c r="F232" s="1" t="s">
        <v>3469</v>
      </c>
      <c r="G232" s="1" t="s">
        <v>802</v>
      </c>
      <c r="H232" s="1" t="s">
        <v>651</v>
      </c>
    </row>
    <row r="233" spans="1:9">
      <c r="A233" s="1" t="s">
        <v>2141</v>
      </c>
      <c r="B233" s="1" t="s">
        <v>401</v>
      </c>
      <c r="C233" s="1" t="s">
        <v>2142</v>
      </c>
      <c r="D233" s="1" t="s">
        <v>736</v>
      </c>
      <c r="E233" s="1" t="s">
        <v>2143</v>
      </c>
      <c r="F233" s="1" t="s">
        <v>3469</v>
      </c>
      <c r="G233" s="1" t="s">
        <v>680</v>
      </c>
      <c r="H233" s="1" t="s">
        <v>651</v>
      </c>
    </row>
    <row r="234" spans="1:9">
      <c r="A234" s="1" t="s">
        <v>1915</v>
      </c>
      <c r="B234" s="1" t="s">
        <v>338</v>
      </c>
      <c r="C234" s="1" t="s">
        <v>1916</v>
      </c>
      <c r="D234" s="1" t="s">
        <v>771</v>
      </c>
      <c r="E234" s="1" t="s">
        <v>1917</v>
      </c>
      <c r="F234" s="1" t="s">
        <v>3469</v>
      </c>
      <c r="G234" s="1" t="s">
        <v>764</v>
      </c>
      <c r="H234" s="1" t="s">
        <v>651</v>
      </c>
    </row>
    <row r="235" spans="1:9">
      <c r="A235" s="1" t="s">
        <v>1739</v>
      </c>
      <c r="B235" s="1" t="s">
        <v>288</v>
      </c>
      <c r="C235" s="1" t="s">
        <v>1740</v>
      </c>
      <c r="D235" s="1" t="s">
        <v>1741</v>
      </c>
      <c r="E235" s="1" t="s">
        <v>1742</v>
      </c>
      <c r="F235" s="1" t="s">
        <v>3469</v>
      </c>
      <c r="G235" s="1" t="s">
        <v>738</v>
      </c>
      <c r="H235" s="1" t="s">
        <v>651</v>
      </c>
    </row>
    <row r="236" spans="1:9">
      <c r="A236" s="1" t="s">
        <v>1975</v>
      </c>
      <c r="B236" s="1" t="s">
        <v>355</v>
      </c>
      <c r="C236" s="1" t="s">
        <v>1976</v>
      </c>
      <c r="D236" s="1" t="s">
        <v>1818</v>
      </c>
      <c r="E236" s="1" t="s">
        <v>1977</v>
      </c>
      <c r="F236" s="1" t="s">
        <v>3469</v>
      </c>
      <c r="G236" s="1" t="s">
        <v>764</v>
      </c>
      <c r="H236" s="1" t="s">
        <v>651</v>
      </c>
      <c r="I236" s="1" t="s">
        <v>691</v>
      </c>
    </row>
    <row r="237" spans="1:9">
      <c r="A237" s="1" t="s">
        <v>2898</v>
      </c>
      <c r="B237" s="1" t="s">
        <v>604</v>
      </c>
      <c r="C237" s="1" t="s">
        <v>2899</v>
      </c>
      <c r="D237" s="1" t="s">
        <v>2900</v>
      </c>
      <c r="E237" s="1" t="s">
        <v>2901</v>
      </c>
      <c r="F237" s="1" t="s">
        <v>3544</v>
      </c>
      <c r="G237" s="1" t="s">
        <v>2897</v>
      </c>
      <c r="H237" s="1" t="s">
        <v>651</v>
      </c>
      <c r="I237" s="1" t="s">
        <v>691</v>
      </c>
    </row>
    <row r="238" spans="1:9">
      <c r="A238" s="1" t="s">
        <v>3000</v>
      </c>
      <c r="B238" s="1" t="s">
        <v>631</v>
      </c>
      <c r="C238" s="1" t="s">
        <v>3001</v>
      </c>
      <c r="D238" s="1" t="s">
        <v>3002</v>
      </c>
      <c r="E238" s="1" t="s">
        <v>3003</v>
      </c>
      <c r="F238" s="1" t="s">
        <v>3520</v>
      </c>
      <c r="G238" s="1" t="s">
        <v>2914</v>
      </c>
      <c r="H238" s="1" t="s">
        <v>651</v>
      </c>
      <c r="I238" s="1" t="s">
        <v>691</v>
      </c>
    </row>
    <row r="239" spans="1:9">
      <c r="A239" s="1" t="s">
        <v>1903</v>
      </c>
      <c r="B239" s="1" t="s">
        <v>334</v>
      </c>
      <c r="C239" s="1" t="s">
        <v>1904</v>
      </c>
      <c r="D239" s="1" t="s">
        <v>1126</v>
      </c>
      <c r="E239" s="1" t="s">
        <v>1905</v>
      </c>
      <c r="F239" s="1" t="s">
        <v>3469</v>
      </c>
      <c r="G239" s="1" t="s">
        <v>738</v>
      </c>
      <c r="H239" s="1" t="s">
        <v>651</v>
      </c>
    </row>
    <row r="240" spans="1:9">
      <c r="A240" s="1" t="s">
        <v>1071</v>
      </c>
      <c r="B240" s="1" t="s">
        <v>108</v>
      </c>
      <c r="C240" s="1" t="s">
        <v>1072</v>
      </c>
      <c r="D240" s="1" t="s">
        <v>655</v>
      </c>
      <c r="E240" s="1" t="s">
        <v>1073</v>
      </c>
      <c r="F240" s="1" t="s">
        <v>3469</v>
      </c>
      <c r="G240" s="1" t="s">
        <v>1074</v>
      </c>
      <c r="H240" s="1" t="s">
        <v>651</v>
      </c>
    </row>
    <row r="241" spans="1:9">
      <c r="A241" s="1" t="s">
        <v>1414</v>
      </c>
      <c r="B241" s="1" t="s">
        <v>204</v>
      </c>
      <c r="C241" s="1" t="s">
        <v>1415</v>
      </c>
      <c r="D241" s="1" t="s">
        <v>792</v>
      </c>
      <c r="E241" s="1" t="s">
        <v>1416</v>
      </c>
      <c r="F241" s="1" t="s">
        <v>3469</v>
      </c>
      <c r="G241" s="1" t="s">
        <v>657</v>
      </c>
      <c r="H241" s="1" t="s">
        <v>651</v>
      </c>
      <c r="I241" s="1" t="s">
        <v>691</v>
      </c>
    </row>
    <row r="242" spans="1:9">
      <c r="A242" s="1" t="s">
        <v>2191</v>
      </c>
      <c r="B242" s="1" t="s">
        <v>417</v>
      </c>
      <c r="C242" s="1" t="s">
        <v>2192</v>
      </c>
      <c r="D242" s="1" t="s">
        <v>2193</v>
      </c>
      <c r="E242" s="1" t="s">
        <v>2194</v>
      </c>
      <c r="F242" s="1" t="s">
        <v>3469</v>
      </c>
      <c r="G242" s="1" t="s">
        <v>680</v>
      </c>
      <c r="H242" s="1" t="s">
        <v>651</v>
      </c>
      <c r="I242" s="1" t="s">
        <v>691</v>
      </c>
    </row>
    <row r="243" spans="1:9">
      <c r="A243" s="1" t="s">
        <v>1776</v>
      </c>
      <c r="B243" s="1" t="s">
        <v>300</v>
      </c>
      <c r="C243" s="1" t="s">
        <v>1777</v>
      </c>
      <c r="D243" s="1" t="s">
        <v>1778</v>
      </c>
      <c r="E243" s="1" t="s">
        <v>1779</v>
      </c>
      <c r="F243" s="1" t="s">
        <v>3469</v>
      </c>
      <c r="G243" s="1" t="s">
        <v>650</v>
      </c>
      <c r="H243" s="1" t="s">
        <v>651</v>
      </c>
      <c r="I243" s="1" t="s">
        <v>691</v>
      </c>
    </row>
    <row r="244" spans="1:9">
      <c r="A244" s="1" t="s">
        <v>1801</v>
      </c>
      <c r="B244" s="1" t="s">
        <v>307</v>
      </c>
      <c r="C244" s="1" t="s">
        <v>1802</v>
      </c>
      <c r="D244" s="1" t="s">
        <v>1258</v>
      </c>
      <c r="E244" s="1" t="s">
        <v>1803</v>
      </c>
      <c r="F244" s="1" t="s">
        <v>3469</v>
      </c>
      <c r="G244" s="1" t="s">
        <v>680</v>
      </c>
      <c r="H244" s="1" t="s">
        <v>651</v>
      </c>
    </row>
    <row r="245" spans="1:9">
      <c r="A245" s="1" t="s">
        <v>1892</v>
      </c>
      <c r="B245" s="1" t="s">
        <v>307</v>
      </c>
      <c r="C245" s="1" t="s">
        <v>1802</v>
      </c>
      <c r="D245" s="1" t="s">
        <v>1258</v>
      </c>
      <c r="E245" s="1" t="s">
        <v>1893</v>
      </c>
      <c r="F245" s="1" t="s">
        <v>3469</v>
      </c>
      <c r="G245" s="1" t="s">
        <v>680</v>
      </c>
      <c r="H245" s="1" t="s">
        <v>651</v>
      </c>
    </row>
    <row r="246" spans="1:9">
      <c r="A246" s="1" t="s">
        <v>1833</v>
      </c>
      <c r="B246" s="1" t="s">
        <v>316</v>
      </c>
      <c r="C246" s="1" t="s">
        <v>1834</v>
      </c>
      <c r="D246" s="1" t="s">
        <v>1835</v>
      </c>
      <c r="E246" s="1" t="s">
        <v>1836</v>
      </c>
      <c r="F246" s="1" t="s">
        <v>3469</v>
      </c>
      <c r="G246" s="1" t="s">
        <v>680</v>
      </c>
      <c r="H246" s="1" t="s">
        <v>651</v>
      </c>
    </row>
    <row r="247" spans="1:9">
      <c r="A247" s="1" t="s">
        <v>717</v>
      </c>
      <c r="B247" s="1" t="s">
        <v>17</v>
      </c>
      <c r="C247" s="1" t="s">
        <v>718</v>
      </c>
      <c r="D247" s="1" t="s">
        <v>719</v>
      </c>
      <c r="E247" s="1" t="s">
        <v>720</v>
      </c>
      <c r="F247" s="1" t="s">
        <v>3469</v>
      </c>
      <c r="G247" s="1" t="s">
        <v>662</v>
      </c>
      <c r="H247" s="1" t="s">
        <v>651</v>
      </c>
    </row>
    <row r="248" spans="1:9">
      <c r="A248" s="1" t="s">
        <v>1909</v>
      </c>
      <c r="B248" s="1" t="s">
        <v>336</v>
      </c>
      <c r="C248" s="1" t="s">
        <v>669</v>
      </c>
      <c r="D248" s="1" t="s">
        <v>1910</v>
      </c>
      <c r="E248" s="1" t="s">
        <v>1911</v>
      </c>
      <c r="F248" s="1" t="s">
        <v>3469</v>
      </c>
      <c r="G248" s="1" t="s">
        <v>802</v>
      </c>
      <c r="H248" s="1" t="s">
        <v>651</v>
      </c>
    </row>
    <row r="249" spans="1:9">
      <c r="A249" s="1" t="s">
        <v>1884</v>
      </c>
      <c r="B249" s="1" t="s">
        <v>330</v>
      </c>
      <c r="C249" s="1" t="s">
        <v>1885</v>
      </c>
      <c r="D249" s="1" t="s">
        <v>792</v>
      </c>
      <c r="E249" s="1" t="s">
        <v>1886</v>
      </c>
      <c r="F249" s="1" t="s">
        <v>3469</v>
      </c>
      <c r="G249" s="1" t="s">
        <v>662</v>
      </c>
      <c r="H249" s="1" t="s">
        <v>651</v>
      </c>
      <c r="I249" s="1" t="s">
        <v>691</v>
      </c>
    </row>
    <row r="250" spans="1:9">
      <c r="A250" s="1" t="s">
        <v>2002</v>
      </c>
      <c r="B250" s="1" t="s">
        <v>330</v>
      </c>
      <c r="C250" s="1" t="s">
        <v>1885</v>
      </c>
      <c r="D250" s="1" t="s">
        <v>792</v>
      </c>
      <c r="E250" s="1" t="s">
        <v>2003</v>
      </c>
      <c r="F250" s="1" t="s">
        <v>3469</v>
      </c>
      <c r="G250" s="1" t="s">
        <v>662</v>
      </c>
      <c r="H250" s="1" t="s">
        <v>651</v>
      </c>
      <c r="I250" s="1" t="s">
        <v>691</v>
      </c>
    </row>
    <row r="251" spans="1:9">
      <c r="A251" s="1" t="s">
        <v>1246</v>
      </c>
      <c r="B251" s="1" t="s">
        <v>158</v>
      </c>
      <c r="C251" s="1" t="s">
        <v>1247</v>
      </c>
      <c r="D251" s="1" t="s">
        <v>792</v>
      </c>
      <c r="E251" s="1" t="s">
        <v>1248</v>
      </c>
      <c r="F251" s="1" t="s">
        <v>3469</v>
      </c>
      <c r="G251" s="1" t="s">
        <v>837</v>
      </c>
      <c r="H251" s="1" t="s">
        <v>651</v>
      </c>
      <c r="I251" s="1" t="s">
        <v>691</v>
      </c>
    </row>
    <row r="252" spans="1:9">
      <c r="A252" s="1" t="s">
        <v>2074</v>
      </c>
      <c r="B252" s="1" t="s">
        <v>3545</v>
      </c>
      <c r="C252" s="1" t="s">
        <v>3546</v>
      </c>
      <c r="D252" s="1" t="s">
        <v>655</v>
      </c>
      <c r="E252" s="1" t="s">
        <v>2075</v>
      </c>
      <c r="F252" s="1" t="s">
        <v>3469</v>
      </c>
      <c r="G252" s="1" t="s">
        <v>662</v>
      </c>
      <c r="H252" s="1" t="s">
        <v>651</v>
      </c>
      <c r="I252" s="1" t="s">
        <v>691</v>
      </c>
    </row>
    <row r="253" spans="1:9">
      <c r="A253" s="1" t="s">
        <v>1060</v>
      </c>
      <c r="B253" s="1" t="s">
        <v>105</v>
      </c>
      <c r="C253" s="1" t="s">
        <v>1061</v>
      </c>
      <c r="D253" s="1" t="s">
        <v>1062</v>
      </c>
      <c r="E253" s="1" t="s">
        <v>1063</v>
      </c>
      <c r="F253" s="1" t="s">
        <v>3469</v>
      </c>
      <c r="G253" s="1" t="s">
        <v>777</v>
      </c>
      <c r="H253" s="1" t="s">
        <v>651</v>
      </c>
    </row>
    <row r="254" spans="1:9">
      <c r="A254" s="1" t="s">
        <v>3547</v>
      </c>
      <c r="B254" s="1" t="s">
        <v>3548</v>
      </c>
      <c r="C254" s="1" t="s">
        <v>3549</v>
      </c>
      <c r="D254" s="1" t="s">
        <v>3550</v>
      </c>
      <c r="E254" s="1" t="s">
        <v>3551</v>
      </c>
      <c r="F254" s="1" t="s">
        <v>3489</v>
      </c>
      <c r="G254" s="1" t="s">
        <v>3016</v>
      </c>
      <c r="H254" s="1" t="s">
        <v>651</v>
      </c>
      <c r="I254" s="1" t="s">
        <v>691</v>
      </c>
    </row>
    <row r="255" spans="1:9">
      <c r="A255" s="1" t="s">
        <v>2626</v>
      </c>
      <c r="B255" s="1" t="s">
        <v>533</v>
      </c>
      <c r="C255" s="1" t="s">
        <v>2627</v>
      </c>
      <c r="D255" s="1" t="s">
        <v>2628</v>
      </c>
      <c r="E255" s="1" t="s">
        <v>2629</v>
      </c>
      <c r="F255" s="1" t="s">
        <v>3473</v>
      </c>
      <c r="G255" s="1" t="s">
        <v>2543</v>
      </c>
      <c r="H255" s="1" t="s">
        <v>651</v>
      </c>
      <c r="I255" s="1" t="s">
        <v>2458</v>
      </c>
    </row>
    <row r="256" spans="1:9">
      <c r="A256" s="1" t="s">
        <v>2068</v>
      </c>
      <c r="B256" s="1" t="s">
        <v>379</v>
      </c>
      <c r="C256" s="1" t="s">
        <v>2069</v>
      </c>
      <c r="D256" s="1" t="s">
        <v>1757</v>
      </c>
      <c r="E256" s="1" t="s">
        <v>2070</v>
      </c>
      <c r="F256" s="1" t="s">
        <v>3469</v>
      </c>
      <c r="G256" s="1" t="s">
        <v>662</v>
      </c>
      <c r="H256" s="1" t="s">
        <v>651</v>
      </c>
      <c r="I256" s="1" t="s">
        <v>691</v>
      </c>
    </row>
    <row r="257" spans="1:9">
      <c r="A257" s="1" t="s">
        <v>2935</v>
      </c>
      <c r="B257" s="1" t="s">
        <v>613</v>
      </c>
      <c r="C257" s="1" t="s">
        <v>2936</v>
      </c>
      <c r="D257" s="1" t="s">
        <v>736</v>
      </c>
      <c r="E257" s="1" t="s">
        <v>2937</v>
      </c>
      <c r="F257" s="1" t="s">
        <v>3474</v>
      </c>
      <c r="G257" s="1" t="s">
        <v>2897</v>
      </c>
      <c r="H257" s="1" t="s">
        <v>651</v>
      </c>
      <c r="I257" s="1" t="s">
        <v>691</v>
      </c>
    </row>
    <row r="258" spans="1:9">
      <c r="A258" s="1" t="s">
        <v>2938</v>
      </c>
      <c r="B258" s="1" t="s">
        <v>614</v>
      </c>
      <c r="C258" s="1" t="s">
        <v>2939</v>
      </c>
      <c r="D258" s="1" t="s">
        <v>2940</v>
      </c>
      <c r="E258" s="1" t="s">
        <v>2941</v>
      </c>
      <c r="F258" s="1" t="s">
        <v>3474</v>
      </c>
      <c r="G258" s="1" t="s">
        <v>2897</v>
      </c>
      <c r="H258" s="1" t="s">
        <v>651</v>
      </c>
      <c r="I258" s="1" t="s">
        <v>691</v>
      </c>
    </row>
    <row r="259" spans="1:9">
      <c r="A259" s="1" t="s">
        <v>2589</v>
      </c>
      <c r="B259" s="1" t="s">
        <v>523</v>
      </c>
      <c r="C259" s="1" t="s">
        <v>2590</v>
      </c>
      <c r="D259" s="1" t="s">
        <v>2591</v>
      </c>
      <c r="E259" s="1" t="s">
        <v>2592</v>
      </c>
      <c r="F259" s="1" t="s">
        <v>3469</v>
      </c>
      <c r="G259" s="1" t="s">
        <v>2436</v>
      </c>
      <c r="H259" s="1" t="s">
        <v>651</v>
      </c>
    </row>
    <row r="260" spans="1:9">
      <c r="A260" s="1" t="s">
        <v>2106</v>
      </c>
      <c r="B260" s="1" t="s">
        <v>390</v>
      </c>
      <c r="C260" s="1" t="s">
        <v>1479</v>
      </c>
      <c r="D260" s="1" t="s">
        <v>792</v>
      </c>
      <c r="E260" s="1" t="s">
        <v>2107</v>
      </c>
      <c r="F260" s="1" t="s">
        <v>3469</v>
      </c>
      <c r="G260" s="1" t="s">
        <v>667</v>
      </c>
      <c r="H260" s="1" t="s">
        <v>651</v>
      </c>
    </row>
    <row r="261" spans="1:9">
      <c r="A261" s="1" t="s">
        <v>886</v>
      </c>
      <c r="B261" s="1" t="s">
        <v>58</v>
      </c>
      <c r="C261" s="1" t="s">
        <v>669</v>
      </c>
      <c r="D261" s="1" t="s">
        <v>887</v>
      </c>
      <c r="E261" s="1" t="s">
        <v>888</v>
      </c>
      <c r="F261" s="1" t="s">
        <v>3469</v>
      </c>
      <c r="G261" s="1" t="s">
        <v>889</v>
      </c>
      <c r="H261" s="1" t="s">
        <v>651</v>
      </c>
    </row>
    <row r="262" spans="1:9">
      <c r="A262" s="1" t="s">
        <v>1099</v>
      </c>
      <c r="B262" s="1" t="s">
        <v>116</v>
      </c>
      <c r="C262" s="1" t="s">
        <v>1100</v>
      </c>
      <c r="D262" s="1" t="s">
        <v>1101</v>
      </c>
      <c r="E262" s="1" t="s">
        <v>1102</v>
      </c>
      <c r="F262" s="1" t="s">
        <v>3469</v>
      </c>
      <c r="G262" s="1" t="s">
        <v>667</v>
      </c>
      <c r="H262" s="1" t="s">
        <v>651</v>
      </c>
      <c r="I262" s="1" t="s">
        <v>652</v>
      </c>
    </row>
    <row r="263" spans="1:9">
      <c r="A263" s="1" t="s">
        <v>2025</v>
      </c>
      <c r="B263" s="1" t="s">
        <v>368</v>
      </c>
      <c r="C263" s="1" t="s">
        <v>2026</v>
      </c>
      <c r="D263" s="1" t="s">
        <v>1022</v>
      </c>
      <c r="E263" s="1" t="s">
        <v>2027</v>
      </c>
      <c r="F263" s="1" t="s">
        <v>3469</v>
      </c>
      <c r="G263" s="1" t="s">
        <v>667</v>
      </c>
      <c r="H263" s="1" t="s">
        <v>651</v>
      </c>
    </row>
    <row r="264" spans="1:9">
      <c r="A264" s="1" t="s">
        <v>2729</v>
      </c>
      <c r="B264" s="1" t="s">
        <v>560</v>
      </c>
      <c r="C264" s="1" t="s">
        <v>2730</v>
      </c>
      <c r="D264" s="1" t="s">
        <v>809</v>
      </c>
      <c r="E264" s="1" t="s">
        <v>2731</v>
      </c>
      <c r="F264" s="1" t="s">
        <v>3481</v>
      </c>
      <c r="G264" s="1" t="s">
        <v>2568</v>
      </c>
      <c r="H264" s="1" t="s">
        <v>651</v>
      </c>
      <c r="I264" s="1" t="s">
        <v>691</v>
      </c>
    </row>
    <row r="265" spans="1:9">
      <c r="A265" s="1" t="s">
        <v>1268</v>
      </c>
      <c r="B265" s="1" t="s">
        <v>164</v>
      </c>
      <c r="C265" s="1" t="s">
        <v>1269</v>
      </c>
      <c r="D265" s="1" t="s">
        <v>1270</v>
      </c>
      <c r="E265" s="1" t="s">
        <v>1271</v>
      </c>
      <c r="F265" s="1" t="s">
        <v>3469</v>
      </c>
      <c r="G265" s="1" t="s">
        <v>738</v>
      </c>
      <c r="H265" s="1" t="s">
        <v>651</v>
      </c>
    </row>
    <row r="266" spans="1:9">
      <c r="A266" s="1" t="s">
        <v>1391</v>
      </c>
      <c r="B266" s="1" t="s">
        <v>198</v>
      </c>
      <c r="C266" s="1" t="s">
        <v>1392</v>
      </c>
      <c r="D266" s="1" t="s">
        <v>1393</v>
      </c>
      <c r="E266" s="1" t="s">
        <v>1394</v>
      </c>
      <c r="F266" s="1" t="s">
        <v>3469</v>
      </c>
      <c r="G266" s="1" t="s">
        <v>685</v>
      </c>
      <c r="H266" s="1" t="s">
        <v>651</v>
      </c>
    </row>
    <row r="267" spans="1:9">
      <c r="A267" s="1" t="s">
        <v>2647</v>
      </c>
      <c r="B267" s="1" t="s">
        <v>539</v>
      </c>
      <c r="C267" s="1" t="s">
        <v>2648</v>
      </c>
      <c r="D267" s="1" t="s">
        <v>2281</v>
      </c>
      <c r="E267" s="1" t="s">
        <v>2649</v>
      </c>
      <c r="F267" s="1" t="s">
        <v>3473</v>
      </c>
      <c r="G267" s="1" t="s">
        <v>2568</v>
      </c>
      <c r="H267" s="1" t="s">
        <v>651</v>
      </c>
      <c r="I267" s="1" t="s">
        <v>691</v>
      </c>
    </row>
    <row r="268" spans="1:9">
      <c r="A268" s="1" t="s">
        <v>2552</v>
      </c>
      <c r="B268" s="1" t="s">
        <v>514</v>
      </c>
      <c r="C268" s="1" t="s">
        <v>2553</v>
      </c>
      <c r="D268" s="1" t="s">
        <v>2554</v>
      </c>
      <c r="E268" s="1" t="s">
        <v>2555</v>
      </c>
      <c r="F268" s="1" t="s">
        <v>3542</v>
      </c>
      <c r="G268" s="1" t="s">
        <v>2488</v>
      </c>
      <c r="H268" s="1" t="s">
        <v>651</v>
      </c>
      <c r="I268" s="1" t="s">
        <v>691</v>
      </c>
    </row>
    <row r="269" spans="1:9">
      <c r="A269" s="1" t="s">
        <v>970</v>
      </c>
      <c r="B269" s="1" t="s">
        <v>80</v>
      </c>
      <c r="C269" s="1" t="s">
        <v>971</v>
      </c>
      <c r="D269" s="1" t="s">
        <v>972</v>
      </c>
      <c r="E269" s="1" t="s">
        <v>973</v>
      </c>
      <c r="F269" s="1" t="s">
        <v>3469</v>
      </c>
      <c r="G269" s="1" t="s">
        <v>662</v>
      </c>
      <c r="H269" s="1" t="s">
        <v>651</v>
      </c>
      <c r="I269" s="1" t="s">
        <v>691</v>
      </c>
    </row>
    <row r="270" spans="1:9">
      <c r="A270" s="1" t="s">
        <v>2040</v>
      </c>
      <c r="B270" s="1" t="s">
        <v>372</v>
      </c>
      <c r="C270" s="1" t="s">
        <v>2041</v>
      </c>
      <c r="D270" s="1" t="s">
        <v>736</v>
      </c>
      <c r="E270" s="1" t="s">
        <v>2042</v>
      </c>
      <c r="F270" s="1" t="s">
        <v>3469</v>
      </c>
      <c r="G270" s="1" t="s">
        <v>680</v>
      </c>
      <c r="H270" s="1" t="s">
        <v>651</v>
      </c>
      <c r="I270" s="1" t="s">
        <v>691</v>
      </c>
    </row>
    <row r="271" spans="1:9">
      <c r="A271" s="1" t="s">
        <v>1957</v>
      </c>
      <c r="B271" s="1" t="s">
        <v>350</v>
      </c>
      <c r="C271" s="1" t="s">
        <v>1958</v>
      </c>
      <c r="D271" s="1" t="s">
        <v>1080</v>
      </c>
      <c r="E271" s="1" t="s">
        <v>1959</v>
      </c>
      <c r="F271" s="1" t="s">
        <v>3469</v>
      </c>
      <c r="G271" s="1" t="s">
        <v>662</v>
      </c>
      <c r="H271" s="1" t="s">
        <v>651</v>
      </c>
    </row>
    <row r="272" spans="1:9">
      <c r="A272" s="1" t="s">
        <v>2400</v>
      </c>
      <c r="B272" s="1" t="s">
        <v>470</v>
      </c>
      <c r="C272" s="1" t="s">
        <v>2401</v>
      </c>
      <c r="D272" s="1" t="s">
        <v>927</v>
      </c>
      <c r="E272" s="1" t="s">
        <v>2402</v>
      </c>
      <c r="F272" s="1" t="s">
        <v>3469</v>
      </c>
      <c r="G272" s="1" t="s">
        <v>2238</v>
      </c>
      <c r="H272" s="1" t="s">
        <v>651</v>
      </c>
    </row>
    <row r="273" spans="1:9">
      <c r="A273" s="1" t="s">
        <v>2314</v>
      </c>
      <c r="B273" s="1" t="s">
        <v>448</v>
      </c>
      <c r="C273" s="1" t="s">
        <v>2315</v>
      </c>
      <c r="D273" s="1" t="s">
        <v>2316</v>
      </c>
      <c r="E273" s="1" t="s">
        <v>2317</v>
      </c>
      <c r="F273" s="1" t="s">
        <v>3469</v>
      </c>
      <c r="G273" s="1" t="s">
        <v>777</v>
      </c>
      <c r="H273" s="1" t="s">
        <v>651</v>
      </c>
    </row>
    <row r="274" spans="1:9">
      <c r="A274" s="1" t="s">
        <v>2763</v>
      </c>
      <c r="B274" s="1" t="s">
        <v>569</v>
      </c>
      <c r="C274" s="1" t="s">
        <v>2764</v>
      </c>
      <c r="D274" s="1" t="s">
        <v>2765</v>
      </c>
      <c r="E274" s="1" t="s">
        <v>2766</v>
      </c>
      <c r="F274" s="1" t="s">
        <v>3552</v>
      </c>
      <c r="G274" s="1" t="s">
        <v>2669</v>
      </c>
      <c r="H274" s="1" t="s">
        <v>651</v>
      </c>
      <c r="I274" s="1" t="s">
        <v>2458</v>
      </c>
    </row>
    <row r="275" spans="1:9">
      <c r="A275" s="1" t="s">
        <v>2096</v>
      </c>
      <c r="B275" s="1" t="s">
        <v>387</v>
      </c>
      <c r="C275" s="1" t="s">
        <v>2097</v>
      </c>
      <c r="D275" s="1" t="s">
        <v>2098</v>
      </c>
      <c r="E275" s="1" t="s">
        <v>2099</v>
      </c>
      <c r="F275" s="1" t="s">
        <v>3469</v>
      </c>
      <c r="G275" s="1" t="s">
        <v>738</v>
      </c>
      <c r="H275" s="1" t="s">
        <v>651</v>
      </c>
    </row>
    <row r="276" spans="1:9">
      <c r="A276" s="1" t="s">
        <v>672</v>
      </c>
      <c r="B276" s="1" t="s">
        <v>7</v>
      </c>
      <c r="C276" s="1" t="s">
        <v>673</v>
      </c>
      <c r="D276" s="1" t="s">
        <v>674</v>
      </c>
      <c r="E276" s="1" t="s">
        <v>675</v>
      </c>
      <c r="F276" s="1" t="s">
        <v>3469</v>
      </c>
      <c r="G276" s="1" t="s">
        <v>667</v>
      </c>
      <c r="H276" s="1" t="s">
        <v>651</v>
      </c>
    </row>
    <row r="277" spans="1:9">
      <c r="A277" s="1" t="s">
        <v>1567</v>
      </c>
      <c r="B277" s="1" t="s">
        <v>243</v>
      </c>
      <c r="C277" s="1" t="s">
        <v>1568</v>
      </c>
      <c r="D277" s="1" t="s">
        <v>1569</v>
      </c>
      <c r="E277" s="1" t="s">
        <v>1570</v>
      </c>
      <c r="F277" s="1" t="s">
        <v>3469</v>
      </c>
      <c r="G277" s="1" t="s">
        <v>764</v>
      </c>
      <c r="H277" s="1" t="s">
        <v>651</v>
      </c>
      <c r="I277" s="1" t="s">
        <v>1440</v>
      </c>
    </row>
    <row r="278" spans="1:9">
      <c r="A278" s="1" t="s">
        <v>1571</v>
      </c>
      <c r="B278" s="1" t="s">
        <v>243</v>
      </c>
      <c r="C278" s="1" t="s">
        <v>1568</v>
      </c>
      <c r="D278" s="1" t="s">
        <v>1569</v>
      </c>
      <c r="E278" s="1" t="s">
        <v>1572</v>
      </c>
      <c r="F278" s="1" t="s">
        <v>3469</v>
      </c>
      <c r="G278" s="1" t="s">
        <v>764</v>
      </c>
      <c r="H278" s="1" t="s">
        <v>651</v>
      </c>
      <c r="I278" s="1" t="s">
        <v>1440</v>
      </c>
    </row>
    <row r="279" spans="1:9">
      <c r="A279" s="1" t="s">
        <v>751</v>
      </c>
      <c r="B279" s="1" t="s">
        <v>25</v>
      </c>
      <c r="C279" s="1" t="s">
        <v>752</v>
      </c>
      <c r="D279" s="1" t="s">
        <v>753</v>
      </c>
      <c r="E279" s="1" t="s">
        <v>754</v>
      </c>
      <c r="F279" s="1" t="s">
        <v>3469</v>
      </c>
      <c r="G279" s="1" t="s">
        <v>704</v>
      </c>
      <c r="H279" s="1" t="s">
        <v>651</v>
      </c>
    </row>
    <row r="280" spans="1:9">
      <c r="A280" s="1" t="s">
        <v>1043</v>
      </c>
      <c r="B280" s="1" t="s">
        <v>100</v>
      </c>
      <c r="C280" s="1" t="s">
        <v>1044</v>
      </c>
      <c r="D280" s="1" t="s">
        <v>1045</v>
      </c>
      <c r="E280" s="1" t="s">
        <v>1046</v>
      </c>
      <c r="F280" s="1" t="s">
        <v>3469</v>
      </c>
      <c r="G280" s="1" t="s">
        <v>704</v>
      </c>
      <c r="H280" s="1" t="s">
        <v>651</v>
      </c>
    </row>
    <row r="281" spans="1:9">
      <c r="A281" s="1" t="s">
        <v>1881</v>
      </c>
      <c r="B281" s="1" t="s">
        <v>329</v>
      </c>
      <c r="C281" s="1" t="s">
        <v>1882</v>
      </c>
      <c r="D281" s="1" t="s">
        <v>665</v>
      </c>
      <c r="E281" s="1" t="s">
        <v>1883</v>
      </c>
      <c r="F281" s="1" t="s">
        <v>3469</v>
      </c>
      <c r="G281" s="1" t="s">
        <v>680</v>
      </c>
      <c r="H281" s="1" t="s">
        <v>651</v>
      </c>
      <c r="I281" s="1" t="s">
        <v>1458</v>
      </c>
    </row>
    <row r="282" spans="1:9">
      <c r="A282" s="1" t="s">
        <v>2018</v>
      </c>
      <c r="B282" s="1" t="s">
        <v>366</v>
      </c>
      <c r="C282" s="1" t="s">
        <v>2019</v>
      </c>
      <c r="D282" s="1" t="s">
        <v>2020</v>
      </c>
      <c r="E282" s="1" t="s">
        <v>2021</v>
      </c>
      <c r="F282" s="1" t="s">
        <v>3469</v>
      </c>
      <c r="G282" s="1" t="s">
        <v>662</v>
      </c>
      <c r="H282" s="1" t="s">
        <v>651</v>
      </c>
      <c r="I282" s="1" t="s">
        <v>691</v>
      </c>
    </row>
    <row r="283" spans="1:9">
      <c r="A283" s="1" t="s">
        <v>999</v>
      </c>
      <c r="B283" s="1" t="s">
        <v>88</v>
      </c>
      <c r="C283" s="1" t="s">
        <v>1000</v>
      </c>
      <c r="D283" s="1" t="s">
        <v>968</v>
      </c>
      <c r="E283" s="1" t="s">
        <v>1001</v>
      </c>
      <c r="F283" s="1" t="s">
        <v>3469</v>
      </c>
      <c r="G283" s="1" t="s">
        <v>690</v>
      </c>
      <c r="H283" s="1" t="s">
        <v>651</v>
      </c>
      <c r="I283" s="1" t="s">
        <v>691</v>
      </c>
    </row>
    <row r="284" spans="1:9">
      <c r="A284" s="1" t="s">
        <v>2169</v>
      </c>
      <c r="B284" s="1" t="s">
        <v>410</v>
      </c>
      <c r="C284" s="1" t="s">
        <v>2170</v>
      </c>
      <c r="D284" s="1" t="s">
        <v>979</v>
      </c>
      <c r="E284" s="1" t="s">
        <v>2171</v>
      </c>
      <c r="F284" s="1" t="s">
        <v>3469</v>
      </c>
      <c r="G284" s="1" t="s">
        <v>662</v>
      </c>
      <c r="H284" s="1" t="s">
        <v>651</v>
      </c>
      <c r="I284" s="1" t="s">
        <v>691</v>
      </c>
    </row>
    <row r="285" spans="1:9">
      <c r="A285" s="1" t="s">
        <v>1086</v>
      </c>
      <c r="B285" s="1" t="s">
        <v>112</v>
      </c>
      <c r="C285" s="1" t="s">
        <v>1087</v>
      </c>
      <c r="D285" s="1" t="s">
        <v>1080</v>
      </c>
      <c r="E285" s="1" t="s">
        <v>1088</v>
      </c>
      <c r="F285" s="1" t="s">
        <v>3469</v>
      </c>
      <c r="G285" s="1" t="s">
        <v>680</v>
      </c>
      <c r="H285" s="1" t="s">
        <v>651</v>
      </c>
      <c r="I285" s="1" t="s">
        <v>691</v>
      </c>
    </row>
    <row r="286" spans="1:9">
      <c r="A286" s="1" t="s">
        <v>2850</v>
      </c>
      <c r="B286" s="1" t="s">
        <v>3553</v>
      </c>
      <c r="C286" s="1" t="s">
        <v>3554</v>
      </c>
      <c r="D286" s="1" t="s">
        <v>3555</v>
      </c>
      <c r="E286" s="1" t="s">
        <v>2851</v>
      </c>
      <c r="F286" s="1" t="s">
        <v>3469</v>
      </c>
      <c r="G286" s="1" t="s">
        <v>2543</v>
      </c>
      <c r="H286" s="1" t="s">
        <v>651</v>
      </c>
    </row>
    <row r="287" spans="1:9">
      <c r="A287" s="1" t="s">
        <v>1445</v>
      </c>
      <c r="B287" s="1" t="s">
        <v>3556</v>
      </c>
      <c r="C287" s="1" t="s">
        <v>1422</v>
      </c>
      <c r="D287" s="1" t="s">
        <v>655</v>
      </c>
      <c r="E287" s="1" t="s">
        <v>1446</v>
      </c>
      <c r="F287" s="1" t="s">
        <v>3469</v>
      </c>
      <c r="G287" s="1" t="s">
        <v>837</v>
      </c>
      <c r="H287" s="1" t="s">
        <v>651</v>
      </c>
      <c r="I287" s="1" t="s">
        <v>1440</v>
      </c>
    </row>
    <row r="288" spans="1:9">
      <c r="A288" s="1" t="s">
        <v>2839</v>
      </c>
      <c r="B288" s="1" t="s">
        <v>588</v>
      </c>
      <c r="C288" s="1" t="s">
        <v>2840</v>
      </c>
      <c r="D288" s="1" t="s">
        <v>2442</v>
      </c>
      <c r="E288" s="1" t="s">
        <v>2841</v>
      </c>
      <c r="F288" s="1" t="s">
        <v>3477</v>
      </c>
      <c r="G288" s="1" t="s">
        <v>2838</v>
      </c>
      <c r="H288" s="1" t="s">
        <v>651</v>
      </c>
      <c r="I288" s="1" t="s">
        <v>691</v>
      </c>
    </row>
    <row r="289" spans="1:9">
      <c r="A289" s="1" t="s">
        <v>2478</v>
      </c>
      <c r="B289" s="1" t="s">
        <v>492</v>
      </c>
      <c r="C289" s="1" t="s">
        <v>2479</v>
      </c>
      <c r="D289" s="1" t="s">
        <v>2281</v>
      </c>
      <c r="E289" s="1" t="s">
        <v>2480</v>
      </c>
      <c r="F289" s="1" t="s">
        <v>3541</v>
      </c>
      <c r="G289" s="1" t="s">
        <v>2238</v>
      </c>
      <c r="H289" s="1" t="s">
        <v>651</v>
      </c>
      <c r="I289" s="1" t="s">
        <v>691</v>
      </c>
    </row>
    <row r="290" spans="1:9">
      <c r="A290" s="1" t="s">
        <v>3020</v>
      </c>
      <c r="B290" s="1" t="s">
        <v>636</v>
      </c>
      <c r="C290" s="1" t="s">
        <v>3021</v>
      </c>
      <c r="D290" s="1" t="s">
        <v>3022</v>
      </c>
      <c r="E290" s="1" t="s">
        <v>3023</v>
      </c>
      <c r="F290" s="1" t="s">
        <v>3470</v>
      </c>
      <c r="G290" s="1" t="s">
        <v>3016</v>
      </c>
      <c r="H290" s="1" t="s">
        <v>651</v>
      </c>
      <c r="I290" s="1" t="s">
        <v>691</v>
      </c>
    </row>
    <row r="291" spans="1:9">
      <c r="A291" s="1" t="s">
        <v>3024</v>
      </c>
      <c r="B291" s="1" t="s">
        <v>637</v>
      </c>
      <c r="C291" s="1" t="s">
        <v>3025</v>
      </c>
      <c r="D291" s="1" t="s">
        <v>3026</v>
      </c>
      <c r="E291" s="1" t="s">
        <v>3027</v>
      </c>
      <c r="F291" s="1" t="s">
        <v>3470</v>
      </c>
      <c r="G291" s="1" t="s">
        <v>3016</v>
      </c>
      <c r="H291" s="1" t="s">
        <v>651</v>
      </c>
      <c r="I291" s="1" t="s">
        <v>691</v>
      </c>
    </row>
    <row r="292" spans="1:9">
      <c r="A292" s="1" t="s">
        <v>2687</v>
      </c>
      <c r="B292" s="1" t="s">
        <v>549</v>
      </c>
      <c r="C292" s="1" t="s">
        <v>2688</v>
      </c>
      <c r="D292" s="1" t="s">
        <v>1722</v>
      </c>
      <c r="E292" s="1" t="s">
        <v>2689</v>
      </c>
      <c r="F292" s="1" t="s">
        <v>3483</v>
      </c>
      <c r="G292" s="1" t="s">
        <v>2669</v>
      </c>
      <c r="H292" s="1" t="s">
        <v>651</v>
      </c>
      <c r="I292" s="1" t="s">
        <v>691</v>
      </c>
    </row>
    <row r="293" spans="1:9">
      <c r="A293" s="1" t="s">
        <v>2393</v>
      </c>
      <c r="B293" s="1" t="s">
        <v>468</v>
      </c>
      <c r="C293" s="1" t="s">
        <v>2394</v>
      </c>
      <c r="D293" s="1" t="s">
        <v>2395</v>
      </c>
      <c r="E293" s="1" t="s">
        <v>2396</v>
      </c>
      <c r="F293" s="1" t="s">
        <v>3469</v>
      </c>
      <c r="G293" s="1" t="s">
        <v>657</v>
      </c>
      <c r="H293" s="1" t="s">
        <v>651</v>
      </c>
    </row>
    <row r="294" spans="1:9">
      <c r="A294" s="1" t="s">
        <v>2537</v>
      </c>
      <c r="B294" s="1" t="s">
        <v>510</v>
      </c>
      <c r="C294" s="1" t="s">
        <v>2538</v>
      </c>
      <c r="D294" s="1" t="s">
        <v>2539</v>
      </c>
      <c r="E294" s="1" t="s">
        <v>2540</v>
      </c>
      <c r="F294" s="1" t="s">
        <v>3537</v>
      </c>
      <c r="G294" s="1" t="s">
        <v>2488</v>
      </c>
      <c r="H294" s="1" t="s">
        <v>651</v>
      </c>
      <c r="I294" s="1" t="s">
        <v>2458</v>
      </c>
    </row>
    <row r="295" spans="1:9">
      <c r="A295" s="1" t="s">
        <v>2630</v>
      </c>
      <c r="B295" s="1" t="s">
        <v>534</v>
      </c>
      <c r="C295" s="1" t="s">
        <v>2631</v>
      </c>
      <c r="D295" s="1" t="s">
        <v>2632</v>
      </c>
      <c r="E295" s="1" t="s">
        <v>2633</v>
      </c>
      <c r="F295" s="1" t="s">
        <v>3473</v>
      </c>
      <c r="G295" s="1" t="s">
        <v>2568</v>
      </c>
      <c r="H295" s="1" t="s">
        <v>651</v>
      </c>
      <c r="I295" s="1" t="s">
        <v>691</v>
      </c>
    </row>
    <row r="296" spans="1:9">
      <c r="A296" s="1" t="s">
        <v>2527</v>
      </c>
      <c r="B296" s="1" t="s">
        <v>507</v>
      </c>
      <c r="C296" s="1" t="s">
        <v>2528</v>
      </c>
      <c r="D296" s="1" t="s">
        <v>2281</v>
      </c>
      <c r="E296" s="1" t="s">
        <v>2529</v>
      </c>
      <c r="F296" s="1" t="s">
        <v>3537</v>
      </c>
      <c r="G296" s="1" t="s">
        <v>2488</v>
      </c>
      <c r="H296" s="1" t="s">
        <v>651</v>
      </c>
      <c r="I296" s="1" t="s">
        <v>2458</v>
      </c>
    </row>
    <row r="297" spans="1:9">
      <c r="A297" s="1" t="s">
        <v>2732</v>
      </c>
      <c r="B297" s="1" t="s">
        <v>561</v>
      </c>
      <c r="C297" s="1" t="s">
        <v>2733</v>
      </c>
      <c r="D297" s="1" t="s">
        <v>2734</v>
      </c>
      <c r="E297" s="1" t="s">
        <v>2735</v>
      </c>
      <c r="F297" s="1" t="s">
        <v>3481</v>
      </c>
      <c r="G297" s="1" t="s">
        <v>2669</v>
      </c>
      <c r="H297" s="1" t="s">
        <v>651</v>
      </c>
      <c r="I297" s="1" t="s">
        <v>2458</v>
      </c>
    </row>
    <row r="298" spans="1:9">
      <c r="A298" s="1" t="s">
        <v>2481</v>
      </c>
      <c r="B298" s="1" t="s">
        <v>493</v>
      </c>
      <c r="C298" s="1" t="s">
        <v>2482</v>
      </c>
      <c r="D298" s="1" t="s">
        <v>2483</v>
      </c>
      <c r="E298" s="1" t="s">
        <v>2484</v>
      </c>
      <c r="F298" s="1" t="s">
        <v>3541</v>
      </c>
      <c r="G298" s="1" t="s">
        <v>2436</v>
      </c>
      <c r="H298" s="1" t="s">
        <v>651</v>
      </c>
      <c r="I298" s="1" t="s">
        <v>691</v>
      </c>
    </row>
    <row r="299" spans="1:9">
      <c r="A299" s="1" t="s">
        <v>2500</v>
      </c>
      <c r="B299" s="1" t="s">
        <v>499</v>
      </c>
      <c r="C299" s="1" t="s">
        <v>2501</v>
      </c>
      <c r="D299" s="1" t="s">
        <v>1305</v>
      </c>
      <c r="E299" s="1" t="s">
        <v>2502</v>
      </c>
      <c r="F299" s="1" t="s">
        <v>3543</v>
      </c>
      <c r="G299" s="1" t="s">
        <v>2436</v>
      </c>
      <c r="H299" s="1" t="s">
        <v>651</v>
      </c>
      <c r="I299" s="1" t="s">
        <v>691</v>
      </c>
    </row>
    <row r="300" spans="1:9">
      <c r="A300" s="1" t="s">
        <v>951</v>
      </c>
      <c r="B300" s="1" t="s">
        <v>75</v>
      </c>
      <c r="C300" s="1" t="s">
        <v>952</v>
      </c>
      <c r="D300" s="1" t="s">
        <v>953</v>
      </c>
      <c r="E300" s="1" t="s">
        <v>954</v>
      </c>
      <c r="F300" s="1" t="s">
        <v>3469</v>
      </c>
      <c r="G300" s="1" t="s">
        <v>690</v>
      </c>
      <c r="H300" s="1" t="s">
        <v>651</v>
      </c>
    </row>
    <row r="301" spans="1:9">
      <c r="A301" s="1" t="s">
        <v>1644</v>
      </c>
      <c r="B301" s="1" t="s">
        <v>262</v>
      </c>
      <c r="C301" s="1" t="s">
        <v>1645</v>
      </c>
      <c r="D301" s="1" t="s">
        <v>792</v>
      </c>
      <c r="E301" s="1" t="s">
        <v>1646</v>
      </c>
      <c r="F301" s="1" t="s">
        <v>3469</v>
      </c>
      <c r="G301" s="1" t="s">
        <v>650</v>
      </c>
      <c r="H301" s="1" t="s">
        <v>651</v>
      </c>
    </row>
    <row r="302" spans="1:9">
      <c r="A302" s="1" t="s">
        <v>1864</v>
      </c>
      <c r="B302" s="1" t="s">
        <v>325</v>
      </c>
      <c r="C302" s="1" t="s">
        <v>1865</v>
      </c>
      <c r="D302" s="1" t="s">
        <v>1866</v>
      </c>
      <c r="E302" s="1" t="s">
        <v>1867</v>
      </c>
      <c r="F302" s="1" t="s">
        <v>3469</v>
      </c>
      <c r="G302" s="1" t="s">
        <v>680</v>
      </c>
      <c r="H302" s="1" t="s">
        <v>651</v>
      </c>
    </row>
    <row r="303" spans="1:9">
      <c r="A303" s="1" t="s">
        <v>1145</v>
      </c>
      <c r="B303" s="1" t="s">
        <v>129</v>
      </c>
      <c r="C303" s="1" t="s">
        <v>1146</v>
      </c>
      <c r="D303" s="1" t="s">
        <v>968</v>
      </c>
      <c r="E303" s="1" t="s">
        <v>1147</v>
      </c>
      <c r="F303" s="1" t="s">
        <v>3469</v>
      </c>
      <c r="G303" s="1" t="s">
        <v>667</v>
      </c>
      <c r="H303" s="1" t="s">
        <v>651</v>
      </c>
      <c r="I303" s="1" t="s">
        <v>691</v>
      </c>
    </row>
    <row r="304" spans="1:9">
      <c r="A304" s="1" t="s">
        <v>2822</v>
      </c>
      <c r="B304" s="1" t="s">
        <v>584</v>
      </c>
      <c r="C304" s="1" t="s">
        <v>2823</v>
      </c>
      <c r="D304" s="1" t="s">
        <v>2824</v>
      </c>
      <c r="E304" s="1" t="s">
        <v>2825</v>
      </c>
      <c r="F304" s="1" t="s">
        <v>3477</v>
      </c>
      <c r="G304" s="1" t="s">
        <v>2740</v>
      </c>
      <c r="H304" s="1" t="s">
        <v>651</v>
      </c>
      <c r="I304" s="1" t="s">
        <v>691</v>
      </c>
    </row>
    <row r="305" spans="1:9">
      <c r="A305" s="1" t="s">
        <v>1613</v>
      </c>
      <c r="B305" s="1" t="s">
        <v>255</v>
      </c>
      <c r="C305" s="1" t="s">
        <v>1614</v>
      </c>
      <c r="D305" s="1" t="s">
        <v>1080</v>
      </c>
      <c r="E305" s="1" t="s">
        <v>1615</v>
      </c>
      <c r="F305" s="1" t="s">
        <v>3469</v>
      </c>
      <c r="G305" s="1" t="s">
        <v>685</v>
      </c>
      <c r="H305" s="1" t="s">
        <v>651</v>
      </c>
    </row>
    <row r="306" spans="1:9">
      <c r="A306" s="1" t="s">
        <v>2859</v>
      </c>
      <c r="B306" s="1" t="s">
        <v>594</v>
      </c>
      <c r="C306" s="1" t="s">
        <v>2860</v>
      </c>
      <c r="D306" s="1" t="s">
        <v>2861</v>
      </c>
      <c r="E306" s="1" t="s">
        <v>2862</v>
      </c>
      <c r="F306" s="1" t="s">
        <v>3538</v>
      </c>
      <c r="G306" s="1" t="s">
        <v>2838</v>
      </c>
      <c r="H306" s="1" t="s">
        <v>651</v>
      </c>
      <c r="I306" s="1" t="s">
        <v>2458</v>
      </c>
    </row>
    <row r="307" spans="1:9">
      <c r="A307" s="1" t="s">
        <v>2114</v>
      </c>
      <c r="B307" s="1" t="s">
        <v>392</v>
      </c>
      <c r="C307" s="1" t="s">
        <v>2115</v>
      </c>
      <c r="D307" s="1" t="s">
        <v>792</v>
      </c>
      <c r="E307" s="1" t="s">
        <v>2116</v>
      </c>
      <c r="F307" s="1" t="s">
        <v>3469</v>
      </c>
      <c r="G307" s="1" t="s">
        <v>662</v>
      </c>
      <c r="H307" s="1" t="s">
        <v>651</v>
      </c>
    </row>
    <row r="308" spans="1:9">
      <c r="A308" s="1" t="s">
        <v>2942</v>
      </c>
      <c r="B308" s="1" t="s">
        <v>615</v>
      </c>
      <c r="C308" s="1" t="s">
        <v>2943</v>
      </c>
      <c r="D308" s="1" t="s">
        <v>2944</v>
      </c>
      <c r="E308" s="1" t="s">
        <v>2945</v>
      </c>
      <c r="F308" s="1" t="s">
        <v>3474</v>
      </c>
      <c r="G308" s="1" t="s">
        <v>2897</v>
      </c>
      <c r="H308" s="1" t="s">
        <v>651</v>
      </c>
      <c r="I308" s="1" t="s">
        <v>691</v>
      </c>
    </row>
    <row r="309" spans="1:9">
      <c r="A309" s="1" t="s">
        <v>2882</v>
      </c>
      <c r="B309" s="1" t="s">
        <v>600</v>
      </c>
      <c r="C309" s="1" t="s">
        <v>2883</v>
      </c>
      <c r="D309" s="1" t="s">
        <v>2884</v>
      </c>
      <c r="E309" s="1" t="s">
        <v>2885</v>
      </c>
      <c r="F309" s="1" t="s">
        <v>3479</v>
      </c>
      <c r="G309" s="1" t="s">
        <v>2838</v>
      </c>
      <c r="H309" s="1" t="s">
        <v>651</v>
      </c>
      <c r="I309" s="1" t="s">
        <v>691</v>
      </c>
    </row>
    <row r="310" spans="1:9">
      <c r="A310" s="1" t="s">
        <v>2056</v>
      </c>
      <c r="B310" s="1" t="s">
        <v>376</v>
      </c>
      <c r="C310" s="1" t="s">
        <v>2057</v>
      </c>
      <c r="D310" s="1" t="s">
        <v>2058</v>
      </c>
      <c r="E310" s="1" t="s">
        <v>2059</v>
      </c>
      <c r="F310" s="1" t="s">
        <v>3469</v>
      </c>
      <c r="G310" s="1" t="s">
        <v>662</v>
      </c>
      <c r="H310" s="1" t="s">
        <v>651</v>
      </c>
      <c r="I310" s="1" t="s">
        <v>691</v>
      </c>
    </row>
    <row r="311" spans="1:9">
      <c r="A311" s="1" t="s">
        <v>1039</v>
      </c>
      <c r="B311" s="1" t="s">
        <v>99</v>
      </c>
      <c r="C311" s="1" t="s">
        <v>1040</v>
      </c>
      <c r="D311" s="1" t="s">
        <v>1041</v>
      </c>
      <c r="E311" s="1" t="s">
        <v>1042</v>
      </c>
      <c r="F311" s="1" t="s">
        <v>3469</v>
      </c>
      <c r="G311" s="1" t="s">
        <v>729</v>
      </c>
      <c r="H311" s="1" t="s">
        <v>651</v>
      </c>
    </row>
    <row r="312" spans="1:9">
      <c r="A312" s="1" t="s">
        <v>2906</v>
      </c>
      <c r="B312" s="1" t="s">
        <v>606</v>
      </c>
      <c r="C312" s="1" t="s">
        <v>2907</v>
      </c>
      <c r="D312" s="1" t="s">
        <v>2908</v>
      </c>
      <c r="E312" s="1" t="s">
        <v>2909</v>
      </c>
      <c r="F312" s="1" t="s">
        <v>3544</v>
      </c>
      <c r="G312" s="1" t="s">
        <v>2897</v>
      </c>
      <c r="H312" s="1" t="s">
        <v>651</v>
      </c>
      <c r="I312" s="1" t="s">
        <v>691</v>
      </c>
    </row>
    <row r="313" spans="1:9">
      <c r="A313" s="1" t="s">
        <v>2597</v>
      </c>
      <c r="B313" s="1" t="s">
        <v>525</v>
      </c>
      <c r="C313" s="1" t="s">
        <v>2598</v>
      </c>
      <c r="D313" s="1" t="s">
        <v>2599</v>
      </c>
      <c r="E313" s="1" t="s">
        <v>2600</v>
      </c>
      <c r="F313" s="1" t="s">
        <v>3469</v>
      </c>
      <c r="G313" s="1" t="s">
        <v>667</v>
      </c>
      <c r="H313" s="1" t="s">
        <v>651</v>
      </c>
    </row>
    <row r="314" spans="1:9">
      <c r="A314" s="1" t="s">
        <v>1092</v>
      </c>
      <c r="B314" s="1" t="s">
        <v>114</v>
      </c>
      <c r="C314" s="1" t="s">
        <v>1093</v>
      </c>
      <c r="D314" s="1" t="s">
        <v>1094</v>
      </c>
      <c r="E314" s="1" t="s">
        <v>1095</v>
      </c>
      <c r="F314" s="1" t="s">
        <v>3469</v>
      </c>
      <c r="G314" s="1" t="s">
        <v>650</v>
      </c>
      <c r="H314" s="1" t="s">
        <v>651</v>
      </c>
    </row>
    <row r="315" spans="1:9">
      <c r="A315" s="1" t="s">
        <v>1032</v>
      </c>
      <c r="B315" s="1" t="s">
        <v>97</v>
      </c>
      <c r="C315" s="1" t="s">
        <v>1033</v>
      </c>
      <c r="D315" s="1" t="s">
        <v>1034</v>
      </c>
      <c r="E315" s="1" t="s">
        <v>1035</v>
      </c>
      <c r="F315" s="1" t="s">
        <v>3469</v>
      </c>
      <c r="G315" s="1" t="s">
        <v>650</v>
      </c>
      <c r="H315" s="1" t="s">
        <v>651</v>
      </c>
    </row>
    <row r="316" spans="1:9">
      <c r="A316" s="1" t="s">
        <v>2886</v>
      </c>
      <c r="B316" s="1" t="s">
        <v>601</v>
      </c>
      <c r="C316" s="1" t="s">
        <v>2887</v>
      </c>
      <c r="D316" s="1" t="s">
        <v>2281</v>
      </c>
      <c r="E316" s="1" t="s">
        <v>2888</v>
      </c>
      <c r="F316" s="1" t="s">
        <v>3479</v>
      </c>
      <c r="G316" s="1" t="s">
        <v>2669</v>
      </c>
      <c r="H316" s="1" t="s">
        <v>651</v>
      </c>
      <c r="I316" s="1" t="s">
        <v>691</v>
      </c>
    </row>
    <row r="317" spans="1:9">
      <c r="A317" s="1" t="s">
        <v>1024</v>
      </c>
      <c r="B317" s="1" t="s">
        <v>95</v>
      </c>
      <c r="C317" s="1" t="s">
        <v>1025</v>
      </c>
      <c r="D317" s="1" t="s">
        <v>1026</v>
      </c>
      <c r="E317" s="1" t="s">
        <v>1027</v>
      </c>
      <c r="F317" s="1" t="s">
        <v>3469</v>
      </c>
      <c r="G317" s="1" t="s">
        <v>667</v>
      </c>
      <c r="H317" s="1" t="s">
        <v>651</v>
      </c>
      <c r="I317" s="1" t="s">
        <v>652</v>
      </c>
    </row>
    <row r="318" spans="1:9">
      <c r="A318" s="1" t="s">
        <v>743</v>
      </c>
      <c r="B318" s="1" t="s">
        <v>23</v>
      </c>
      <c r="C318" s="1" t="s">
        <v>744</v>
      </c>
      <c r="D318" s="1" t="s">
        <v>745</v>
      </c>
      <c r="E318" s="1" t="s">
        <v>746</v>
      </c>
      <c r="F318" s="1" t="s">
        <v>3469</v>
      </c>
      <c r="G318" s="1" t="s">
        <v>667</v>
      </c>
      <c r="H318" s="1" t="s">
        <v>651</v>
      </c>
      <c r="I318" s="1" t="s">
        <v>691</v>
      </c>
    </row>
    <row r="319" spans="1:9">
      <c r="A319" s="1" t="s">
        <v>1056</v>
      </c>
      <c r="B319" s="1" t="s">
        <v>104</v>
      </c>
      <c r="C319" s="1" t="s">
        <v>1057</v>
      </c>
      <c r="D319" s="1" t="s">
        <v>1058</v>
      </c>
      <c r="E319" s="1" t="s">
        <v>1059</v>
      </c>
      <c r="F319" s="1" t="s">
        <v>3469</v>
      </c>
      <c r="G319" s="1" t="s">
        <v>667</v>
      </c>
      <c r="H319" s="1" t="s">
        <v>651</v>
      </c>
      <c r="I319" s="1" t="s">
        <v>652</v>
      </c>
    </row>
    <row r="320" spans="1:9">
      <c r="A320" s="1" t="s">
        <v>2717</v>
      </c>
      <c r="B320" s="1" t="s">
        <v>557</v>
      </c>
      <c r="C320" s="1" t="s">
        <v>2718</v>
      </c>
      <c r="D320" s="1" t="s">
        <v>2719</v>
      </c>
      <c r="E320" s="1" t="s">
        <v>2720</v>
      </c>
      <c r="F320" s="1" t="s">
        <v>3469</v>
      </c>
      <c r="G320" s="1" t="s">
        <v>2543</v>
      </c>
      <c r="H320" s="1" t="s">
        <v>651</v>
      </c>
    </row>
    <row r="321" spans="1:9">
      <c r="A321" s="1" t="s">
        <v>1564</v>
      </c>
      <c r="B321" s="1" t="s">
        <v>242</v>
      </c>
      <c r="C321" s="1" t="s">
        <v>669</v>
      </c>
      <c r="D321" s="1" t="s">
        <v>1565</v>
      </c>
      <c r="E321" s="1" t="s">
        <v>1566</v>
      </c>
      <c r="F321" s="1" t="s">
        <v>3469</v>
      </c>
      <c r="G321" s="1" t="s">
        <v>837</v>
      </c>
      <c r="H321" s="1" t="s">
        <v>651</v>
      </c>
    </row>
    <row r="322" spans="1:9">
      <c r="A322" s="1" t="s">
        <v>1152</v>
      </c>
      <c r="B322" s="1" t="s">
        <v>131</v>
      </c>
      <c r="C322" s="1" t="s">
        <v>1153</v>
      </c>
      <c r="D322" s="1" t="s">
        <v>688</v>
      </c>
      <c r="E322" s="1" t="s">
        <v>1154</v>
      </c>
      <c r="F322" s="1" t="s">
        <v>3469</v>
      </c>
      <c r="G322" s="1" t="s">
        <v>667</v>
      </c>
      <c r="H322" s="1" t="s">
        <v>651</v>
      </c>
    </row>
    <row r="323" spans="1:9">
      <c r="A323" s="1" t="s">
        <v>2246</v>
      </c>
      <c r="B323" s="1" t="s">
        <v>432</v>
      </c>
      <c r="C323" s="1" t="s">
        <v>2247</v>
      </c>
      <c r="D323" s="1" t="s">
        <v>2248</v>
      </c>
      <c r="E323" s="1" t="s">
        <v>2249</v>
      </c>
      <c r="F323" s="1" t="s">
        <v>3469</v>
      </c>
      <c r="G323" s="1" t="s">
        <v>690</v>
      </c>
      <c r="H323" s="1" t="s">
        <v>651</v>
      </c>
      <c r="I323" s="1" t="s">
        <v>652</v>
      </c>
    </row>
    <row r="324" spans="1:9">
      <c r="A324" s="1" t="s">
        <v>1486</v>
      </c>
      <c r="B324" s="1" t="s">
        <v>222</v>
      </c>
      <c r="C324" s="1" t="s">
        <v>1487</v>
      </c>
      <c r="D324" s="1" t="s">
        <v>1488</v>
      </c>
      <c r="E324" s="1" t="s">
        <v>1489</v>
      </c>
      <c r="F324" s="1" t="s">
        <v>3469</v>
      </c>
      <c r="G324" s="1" t="s">
        <v>802</v>
      </c>
      <c r="H324" s="1" t="s">
        <v>651</v>
      </c>
    </row>
    <row r="325" spans="1:9">
      <c r="A325" s="1" t="s">
        <v>803</v>
      </c>
      <c r="B325" s="1" t="s">
        <v>36</v>
      </c>
      <c r="C325" s="1" t="s">
        <v>804</v>
      </c>
      <c r="D325" s="1" t="s">
        <v>805</v>
      </c>
      <c r="E325" s="1" t="s">
        <v>806</v>
      </c>
      <c r="F325" s="1" t="s">
        <v>3469</v>
      </c>
      <c r="G325" s="1" t="s">
        <v>777</v>
      </c>
      <c r="H325" s="1" t="s">
        <v>651</v>
      </c>
    </row>
    <row r="326" spans="1:9">
      <c r="A326" s="1" t="s">
        <v>2008</v>
      </c>
      <c r="B326" s="1" t="s">
        <v>363</v>
      </c>
      <c r="C326" s="1" t="s">
        <v>2009</v>
      </c>
      <c r="D326" s="1" t="s">
        <v>927</v>
      </c>
      <c r="E326" s="1" t="s">
        <v>2010</v>
      </c>
      <c r="F326" s="1" t="s">
        <v>3469</v>
      </c>
      <c r="G326" s="1" t="s">
        <v>662</v>
      </c>
      <c r="H326" s="1" t="s">
        <v>651</v>
      </c>
      <c r="I326" s="1" t="s">
        <v>691</v>
      </c>
    </row>
    <row r="327" spans="1:9">
      <c r="A327" s="1" t="s">
        <v>2844</v>
      </c>
      <c r="B327" s="1" t="s">
        <v>590</v>
      </c>
      <c r="C327" s="1" t="s">
        <v>1090</v>
      </c>
      <c r="D327" s="1" t="s">
        <v>2472</v>
      </c>
      <c r="E327" s="1" t="s">
        <v>2845</v>
      </c>
      <c r="F327" s="1" t="s">
        <v>3469</v>
      </c>
      <c r="G327" s="1" t="s">
        <v>2740</v>
      </c>
      <c r="H327" s="1" t="s">
        <v>651</v>
      </c>
    </row>
    <row r="328" spans="1:9">
      <c r="A328" s="1" t="s">
        <v>765</v>
      </c>
      <c r="B328" s="1" t="s">
        <v>27</v>
      </c>
      <c r="C328" s="1" t="s">
        <v>766</v>
      </c>
      <c r="D328" s="1" t="s">
        <v>767</v>
      </c>
      <c r="E328" s="1" t="s">
        <v>768</v>
      </c>
      <c r="F328" s="1" t="s">
        <v>3469</v>
      </c>
      <c r="G328" s="1" t="s">
        <v>657</v>
      </c>
      <c r="H328" s="1" t="s">
        <v>651</v>
      </c>
    </row>
    <row r="329" spans="1:9">
      <c r="A329" s="1" t="s">
        <v>2993</v>
      </c>
      <c r="B329" s="1" t="s">
        <v>629</v>
      </c>
      <c r="C329" s="1" t="s">
        <v>2994</v>
      </c>
      <c r="D329" s="1" t="s">
        <v>2995</v>
      </c>
      <c r="E329" s="1" t="s">
        <v>2996</v>
      </c>
      <c r="F329" s="1" t="s">
        <v>3520</v>
      </c>
      <c r="G329" s="1" t="s">
        <v>2914</v>
      </c>
      <c r="H329" s="1" t="s">
        <v>651</v>
      </c>
      <c r="I329" s="1" t="s">
        <v>691</v>
      </c>
    </row>
    <row r="330" spans="1:9">
      <c r="A330" s="1" t="s">
        <v>2919</v>
      </c>
      <c r="B330" s="1" t="s">
        <v>609</v>
      </c>
      <c r="C330" s="1" t="s">
        <v>2920</v>
      </c>
      <c r="D330" s="1" t="s">
        <v>2921</v>
      </c>
      <c r="E330" s="1" t="s">
        <v>2922</v>
      </c>
      <c r="F330" s="1" t="s">
        <v>3474</v>
      </c>
      <c r="G330" s="1" t="s">
        <v>2740</v>
      </c>
      <c r="H330" s="1" t="s">
        <v>651</v>
      </c>
      <c r="I330" s="1" t="s">
        <v>691</v>
      </c>
    </row>
    <row r="331" spans="1:9">
      <c r="A331" s="1" t="s">
        <v>2923</v>
      </c>
      <c r="B331" s="1" t="s">
        <v>610</v>
      </c>
      <c r="C331" s="1" t="s">
        <v>2924</v>
      </c>
      <c r="D331" s="1" t="s">
        <v>2925</v>
      </c>
      <c r="E331" s="1" t="s">
        <v>2926</v>
      </c>
      <c r="F331" s="1" t="s">
        <v>3474</v>
      </c>
      <c r="G331" s="1" t="s">
        <v>2914</v>
      </c>
      <c r="H331" s="1" t="s">
        <v>651</v>
      </c>
      <c r="I331" s="1" t="s">
        <v>691</v>
      </c>
    </row>
    <row r="332" spans="1:9">
      <c r="A332" s="1" t="s">
        <v>943</v>
      </c>
      <c r="B332" s="1" t="s">
        <v>73</v>
      </c>
      <c r="C332" s="1" t="s">
        <v>944</v>
      </c>
      <c r="D332" s="1" t="s">
        <v>945</v>
      </c>
      <c r="E332" s="1" t="s">
        <v>946</v>
      </c>
      <c r="F332" s="1" t="s">
        <v>3469</v>
      </c>
      <c r="G332" s="1" t="s">
        <v>667</v>
      </c>
      <c r="H332" s="1" t="s">
        <v>651</v>
      </c>
    </row>
    <row r="333" spans="1:9">
      <c r="A333" s="1" t="s">
        <v>798</v>
      </c>
      <c r="B333" s="1" t="s">
        <v>35</v>
      </c>
      <c r="C333" s="1" t="s">
        <v>799</v>
      </c>
      <c r="D333" s="1" t="s">
        <v>800</v>
      </c>
      <c r="E333" s="1" t="s">
        <v>801</v>
      </c>
      <c r="F333" s="1" t="s">
        <v>3469</v>
      </c>
      <c r="G333" s="1" t="s">
        <v>802</v>
      </c>
      <c r="H333" s="1" t="s">
        <v>651</v>
      </c>
    </row>
    <row r="334" spans="1:9">
      <c r="A334" s="1" t="s">
        <v>2301</v>
      </c>
      <c r="B334" s="1" t="s">
        <v>445</v>
      </c>
      <c r="C334" s="1" t="s">
        <v>669</v>
      </c>
      <c r="D334" s="1" t="s">
        <v>2302</v>
      </c>
      <c r="E334" s="1" t="s">
        <v>2303</v>
      </c>
      <c r="F334" s="1" t="s">
        <v>3469</v>
      </c>
      <c r="G334" s="1" t="s">
        <v>777</v>
      </c>
      <c r="H334" s="1" t="s">
        <v>651</v>
      </c>
    </row>
    <row r="335" spans="1:9">
      <c r="A335" s="1" t="s">
        <v>1898</v>
      </c>
      <c r="B335" s="1" t="s">
        <v>333</v>
      </c>
      <c r="C335" s="1" t="s">
        <v>669</v>
      </c>
      <c r="D335" s="1" t="s">
        <v>1899</v>
      </c>
      <c r="E335" s="1" t="s">
        <v>1900</v>
      </c>
      <c r="F335" s="1" t="s">
        <v>3469</v>
      </c>
      <c r="G335" s="1" t="s">
        <v>680</v>
      </c>
      <c r="H335" s="1" t="s">
        <v>651</v>
      </c>
    </row>
    <row r="336" spans="1:9">
      <c r="A336" s="1" t="s">
        <v>1727</v>
      </c>
      <c r="B336" s="1" t="s">
        <v>285</v>
      </c>
      <c r="C336" s="1" t="s">
        <v>1728</v>
      </c>
      <c r="D336" s="1" t="s">
        <v>771</v>
      </c>
      <c r="E336" s="1" t="s">
        <v>1729</v>
      </c>
      <c r="F336" s="1" t="s">
        <v>3469</v>
      </c>
      <c r="G336" s="1" t="s">
        <v>657</v>
      </c>
      <c r="H336" s="1" t="s">
        <v>651</v>
      </c>
    </row>
    <row r="337" spans="1:9">
      <c r="A337" s="1" t="s">
        <v>1840</v>
      </c>
      <c r="B337" s="1" t="s">
        <v>318</v>
      </c>
      <c r="C337" s="1" t="s">
        <v>1841</v>
      </c>
      <c r="D337" s="1" t="s">
        <v>927</v>
      </c>
      <c r="E337" s="1" t="s">
        <v>1842</v>
      </c>
      <c r="F337" s="1" t="s">
        <v>3469</v>
      </c>
      <c r="G337" s="1" t="s">
        <v>680</v>
      </c>
      <c r="H337" s="1" t="s">
        <v>651</v>
      </c>
      <c r="I337" s="1" t="s">
        <v>691</v>
      </c>
    </row>
    <row r="338" spans="1:9">
      <c r="A338" s="1" t="s">
        <v>1918</v>
      </c>
      <c r="B338" s="1" t="s">
        <v>339</v>
      </c>
      <c r="C338" s="1" t="s">
        <v>1919</v>
      </c>
      <c r="D338" s="1" t="s">
        <v>719</v>
      </c>
      <c r="E338" s="1" t="s">
        <v>1920</v>
      </c>
      <c r="F338" s="1" t="s">
        <v>3469</v>
      </c>
      <c r="G338" s="1" t="s">
        <v>889</v>
      </c>
      <c r="H338" s="1" t="s">
        <v>651</v>
      </c>
    </row>
    <row r="339" spans="1:9">
      <c r="A339" s="1" t="s">
        <v>1161</v>
      </c>
      <c r="B339" s="1" t="s">
        <v>134</v>
      </c>
      <c r="C339" s="1" t="s">
        <v>1162</v>
      </c>
      <c r="D339" s="1" t="s">
        <v>927</v>
      </c>
      <c r="E339" s="1" t="s">
        <v>1163</v>
      </c>
      <c r="F339" s="1" t="s">
        <v>3469</v>
      </c>
      <c r="G339" s="1" t="s">
        <v>680</v>
      </c>
      <c r="H339" s="1" t="s">
        <v>651</v>
      </c>
      <c r="I339" s="1" t="s">
        <v>691</v>
      </c>
    </row>
    <row r="340" spans="1:9">
      <c r="A340" s="1" t="s">
        <v>2852</v>
      </c>
      <c r="B340" s="1" t="s">
        <v>592</v>
      </c>
      <c r="C340" s="1" t="s">
        <v>2853</v>
      </c>
      <c r="D340" s="1" t="s">
        <v>2854</v>
      </c>
      <c r="E340" s="1" t="s">
        <v>2855</v>
      </c>
      <c r="F340" s="1" t="s">
        <v>3538</v>
      </c>
      <c r="G340" s="1" t="s">
        <v>2838</v>
      </c>
      <c r="H340" s="1" t="s">
        <v>651</v>
      </c>
      <c r="I340" s="1" t="s">
        <v>691</v>
      </c>
    </row>
    <row r="341" spans="1:9">
      <c r="A341" s="1" t="s">
        <v>1053</v>
      </c>
      <c r="B341" s="1" t="s">
        <v>103</v>
      </c>
      <c r="C341" s="1" t="s">
        <v>1054</v>
      </c>
      <c r="D341" s="1" t="s">
        <v>792</v>
      </c>
      <c r="E341" s="1" t="s">
        <v>1055</v>
      </c>
      <c r="F341" s="1" t="s">
        <v>3469</v>
      </c>
      <c r="G341" s="1" t="s">
        <v>802</v>
      </c>
      <c r="H341" s="1" t="s">
        <v>651</v>
      </c>
    </row>
    <row r="342" spans="1:9">
      <c r="A342" s="1" t="s">
        <v>1260</v>
      </c>
      <c r="B342" s="1" t="s">
        <v>162</v>
      </c>
      <c r="C342" s="1" t="s">
        <v>1261</v>
      </c>
      <c r="D342" s="1" t="s">
        <v>1262</v>
      </c>
      <c r="E342" s="1" t="s">
        <v>1263</v>
      </c>
      <c r="F342" s="1" t="s">
        <v>3469</v>
      </c>
      <c r="G342" s="1" t="s">
        <v>738</v>
      </c>
      <c r="H342" s="1" t="s">
        <v>651</v>
      </c>
    </row>
    <row r="343" spans="1:9">
      <c r="A343" s="1" t="s">
        <v>1290</v>
      </c>
      <c r="B343" s="1" t="s">
        <v>3557</v>
      </c>
      <c r="C343" s="1" t="s">
        <v>3558</v>
      </c>
      <c r="D343" s="1" t="s">
        <v>809</v>
      </c>
      <c r="E343" s="1" t="s">
        <v>1291</v>
      </c>
      <c r="F343" s="1" t="s">
        <v>3469</v>
      </c>
      <c r="G343" s="1" t="s">
        <v>889</v>
      </c>
      <c r="H343" s="1" t="s">
        <v>651</v>
      </c>
    </row>
    <row r="344" spans="1:9">
      <c r="A344" s="1" t="s">
        <v>1647</v>
      </c>
      <c r="B344" s="1" t="s">
        <v>263</v>
      </c>
      <c r="C344" s="1" t="s">
        <v>1648</v>
      </c>
      <c r="D344" s="1" t="s">
        <v>1649</v>
      </c>
      <c r="E344" s="1" t="s">
        <v>1650</v>
      </c>
      <c r="F344" s="1" t="s">
        <v>3469</v>
      </c>
      <c r="G344" s="1" t="s">
        <v>680</v>
      </c>
      <c r="H344" s="1" t="s">
        <v>651</v>
      </c>
    </row>
    <row r="345" spans="1:9">
      <c r="A345" s="1" t="s">
        <v>2103</v>
      </c>
      <c r="B345" s="1" t="s">
        <v>389</v>
      </c>
      <c r="C345" s="1" t="s">
        <v>2104</v>
      </c>
      <c r="D345" s="1" t="s">
        <v>1362</v>
      </c>
      <c r="E345" s="1" t="s">
        <v>2105</v>
      </c>
      <c r="F345" s="1" t="s">
        <v>3469</v>
      </c>
      <c r="G345" s="1" t="s">
        <v>837</v>
      </c>
      <c r="H345" s="1" t="s">
        <v>651</v>
      </c>
    </row>
    <row r="346" spans="1:9">
      <c r="A346" s="1" t="s">
        <v>1767</v>
      </c>
      <c r="B346" s="1" t="s">
        <v>297</v>
      </c>
      <c r="C346" s="1" t="s">
        <v>1768</v>
      </c>
      <c r="D346" s="1" t="s">
        <v>792</v>
      </c>
      <c r="E346" s="1" t="s">
        <v>1769</v>
      </c>
      <c r="F346" s="1" t="s">
        <v>3469</v>
      </c>
      <c r="G346" s="1" t="s">
        <v>680</v>
      </c>
      <c r="H346" s="1" t="s">
        <v>651</v>
      </c>
      <c r="I346" s="1" t="s">
        <v>691</v>
      </c>
    </row>
    <row r="347" spans="1:9">
      <c r="A347" s="1" t="s">
        <v>1945</v>
      </c>
      <c r="B347" s="1" t="s">
        <v>347</v>
      </c>
      <c r="C347" s="1" t="s">
        <v>1946</v>
      </c>
      <c r="D347" s="1" t="s">
        <v>1947</v>
      </c>
      <c r="E347" s="1" t="s">
        <v>1948</v>
      </c>
      <c r="F347" s="1" t="s">
        <v>3469</v>
      </c>
      <c r="G347" s="1" t="s">
        <v>662</v>
      </c>
      <c r="H347" s="1" t="s">
        <v>651</v>
      </c>
    </row>
    <row r="348" spans="1:9">
      <c r="A348" s="1" t="s">
        <v>1124</v>
      </c>
      <c r="B348" s="1" t="s">
        <v>123</v>
      </c>
      <c r="C348" s="1" t="s">
        <v>1125</v>
      </c>
      <c r="D348" s="1" t="s">
        <v>1126</v>
      </c>
      <c r="E348" s="1" t="s">
        <v>1127</v>
      </c>
      <c r="F348" s="1" t="s">
        <v>3469</v>
      </c>
      <c r="G348" s="1" t="s">
        <v>777</v>
      </c>
      <c r="H348" s="1" t="s">
        <v>651</v>
      </c>
      <c r="I348" s="1" t="s">
        <v>691</v>
      </c>
    </row>
    <row r="349" spans="1:9">
      <c r="A349" s="1" t="s">
        <v>1310</v>
      </c>
      <c r="B349" s="1" t="s">
        <v>175</v>
      </c>
      <c r="C349" s="1" t="s">
        <v>1311</v>
      </c>
      <c r="D349" s="1" t="s">
        <v>1126</v>
      </c>
      <c r="E349" s="1" t="s">
        <v>1312</v>
      </c>
      <c r="F349" s="1" t="s">
        <v>3469</v>
      </c>
      <c r="G349" s="1" t="s">
        <v>685</v>
      </c>
      <c r="H349" s="1" t="s">
        <v>651</v>
      </c>
    </row>
    <row r="350" spans="1:9">
      <c r="A350" s="1" t="s">
        <v>1901</v>
      </c>
      <c r="B350" s="1" t="s">
        <v>175</v>
      </c>
      <c r="C350" s="1" t="s">
        <v>1311</v>
      </c>
      <c r="D350" s="1" t="s">
        <v>1126</v>
      </c>
      <c r="E350" s="1" t="s">
        <v>1902</v>
      </c>
      <c r="F350" s="1" t="s">
        <v>3469</v>
      </c>
      <c r="G350" s="1" t="s">
        <v>685</v>
      </c>
      <c r="H350" s="1" t="s">
        <v>651</v>
      </c>
    </row>
    <row r="351" spans="1:9">
      <c r="A351" s="1" t="s">
        <v>1794</v>
      </c>
      <c r="B351" s="1" t="s">
        <v>305</v>
      </c>
      <c r="C351" s="1" t="s">
        <v>1795</v>
      </c>
      <c r="D351" s="1" t="s">
        <v>1080</v>
      </c>
      <c r="E351" s="1" t="s">
        <v>1796</v>
      </c>
      <c r="F351" s="1" t="s">
        <v>3469</v>
      </c>
      <c r="G351" s="1" t="s">
        <v>764</v>
      </c>
      <c r="H351" s="1" t="s">
        <v>651</v>
      </c>
      <c r="I351" s="1" t="s">
        <v>691</v>
      </c>
    </row>
    <row r="352" spans="1:9">
      <c r="A352" s="1" t="s">
        <v>2977</v>
      </c>
      <c r="B352" s="1" t="s">
        <v>624</v>
      </c>
      <c r="C352" s="1" t="s">
        <v>2978</v>
      </c>
      <c r="D352" s="1" t="s">
        <v>2979</v>
      </c>
      <c r="E352" s="1" t="s">
        <v>2980</v>
      </c>
      <c r="F352" s="1" t="s">
        <v>3559</v>
      </c>
      <c r="G352" s="1" t="s">
        <v>2914</v>
      </c>
      <c r="H352" s="1" t="s">
        <v>651</v>
      </c>
      <c r="I352" s="1" t="s">
        <v>691</v>
      </c>
    </row>
    <row r="353" spans="1:9">
      <c r="A353" s="1" t="s">
        <v>901</v>
      </c>
      <c r="B353" s="1" t="s">
        <v>62</v>
      </c>
      <c r="C353" s="1" t="s">
        <v>902</v>
      </c>
      <c r="D353" s="1" t="s">
        <v>903</v>
      </c>
      <c r="E353" s="1" t="s">
        <v>904</v>
      </c>
      <c r="F353" s="1" t="s">
        <v>3469</v>
      </c>
      <c r="G353" s="1" t="s">
        <v>690</v>
      </c>
      <c r="H353" s="1" t="s">
        <v>651</v>
      </c>
      <c r="I353" s="1" t="s">
        <v>691</v>
      </c>
    </row>
    <row r="354" spans="1:9">
      <c r="A354" s="1" t="s">
        <v>2065</v>
      </c>
      <c r="B354" s="1" t="s">
        <v>378</v>
      </c>
      <c r="C354" s="1" t="s">
        <v>2066</v>
      </c>
      <c r="D354" s="1" t="s">
        <v>927</v>
      </c>
      <c r="E354" s="1" t="s">
        <v>2067</v>
      </c>
      <c r="F354" s="1" t="s">
        <v>3469</v>
      </c>
      <c r="G354" s="1" t="s">
        <v>662</v>
      </c>
      <c r="H354" s="1" t="s">
        <v>651</v>
      </c>
      <c r="I354" s="1" t="s">
        <v>691</v>
      </c>
    </row>
    <row r="355" spans="1:9">
      <c r="A355" s="1" t="s">
        <v>818</v>
      </c>
      <c r="B355" s="1" t="s">
        <v>40</v>
      </c>
      <c r="C355" s="1" t="s">
        <v>819</v>
      </c>
      <c r="D355" s="1" t="s">
        <v>820</v>
      </c>
      <c r="E355" s="1" t="s">
        <v>821</v>
      </c>
      <c r="F355" s="1" t="s">
        <v>3469</v>
      </c>
      <c r="G355" s="1" t="s">
        <v>680</v>
      </c>
      <c r="H355" s="1" t="s">
        <v>651</v>
      </c>
      <c r="I355" s="1" t="s">
        <v>822</v>
      </c>
    </row>
    <row r="356" spans="1:9">
      <c r="A356" s="1" t="s">
        <v>2530</v>
      </c>
      <c r="B356" s="1" t="s">
        <v>508</v>
      </c>
      <c r="C356" s="1" t="s">
        <v>2531</v>
      </c>
      <c r="D356" s="1" t="s">
        <v>2532</v>
      </c>
      <c r="E356" s="1" t="s">
        <v>2533</v>
      </c>
      <c r="F356" s="1" t="s">
        <v>3537</v>
      </c>
      <c r="G356" s="1" t="s">
        <v>2488</v>
      </c>
      <c r="H356" s="1" t="s">
        <v>651</v>
      </c>
      <c r="I356" s="1" t="s">
        <v>2458</v>
      </c>
    </row>
    <row r="357" spans="1:9">
      <c r="A357" s="1" t="s">
        <v>1764</v>
      </c>
      <c r="B357" s="1" t="s">
        <v>296</v>
      </c>
      <c r="C357" s="1" t="s">
        <v>1765</v>
      </c>
      <c r="D357" s="1" t="s">
        <v>1406</v>
      </c>
      <c r="E357" s="1" t="s">
        <v>1766</v>
      </c>
      <c r="F357" s="1" t="s">
        <v>3469</v>
      </c>
      <c r="G357" s="1" t="s">
        <v>837</v>
      </c>
      <c r="H357" s="1" t="s">
        <v>651</v>
      </c>
      <c r="I357" s="1" t="s">
        <v>691</v>
      </c>
    </row>
    <row r="358" spans="1:9">
      <c r="A358" s="1" t="s">
        <v>2893</v>
      </c>
      <c r="B358" s="1" t="s">
        <v>603</v>
      </c>
      <c r="C358" s="1" t="s">
        <v>2894</v>
      </c>
      <c r="D358" s="1" t="s">
        <v>2895</v>
      </c>
      <c r="E358" s="1" t="s">
        <v>2896</v>
      </c>
      <c r="F358" s="1" t="s">
        <v>3544</v>
      </c>
      <c r="G358" s="1" t="s">
        <v>2897</v>
      </c>
      <c r="H358" s="1" t="s">
        <v>651</v>
      </c>
      <c r="I358" s="1" t="s">
        <v>691</v>
      </c>
    </row>
    <row r="359" spans="1:9">
      <c r="A359" s="1" t="s">
        <v>2777</v>
      </c>
      <c r="B359" s="1" t="s">
        <v>572</v>
      </c>
      <c r="C359" s="1" t="s">
        <v>2778</v>
      </c>
      <c r="D359" s="1" t="s">
        <v>2779</v>
      </c>
      <c r="E359" s="1" t="s">
        <v>2780</v>
      </c>
      <c r="F359" s="1" t="s">
        <v>3482</v>
      </c>
      <c r="G359" s="1" t="s">
        <v>2740</v>
      </c>
      <c r="H359" s="1" t="s">
        <v>651</v>
      </c>
      <c r="I359" s="1" t="s">
        <v>691</v>
      </c>
    </row>
    <row r="360" spans="1:9">
      <c r="A360" s="1" t="s">
        <v>2256</v>
      </c>
      <c r="B360" s="1" t="s">
        <v>434</v>
      </c>
      <c r="C360" s="1" t="s">
        <v>1343</v>
      </c>
      <c r="D360" s="1" t="s">
        <v>745</v>
      </c>
      <c r="E360" s="1" t="s">
        <v>2257</v>
      </c>
      <c r="F360" s="1" t="s">
        <v>3469</v>
      </c>
      <c r="G360" s="1" t="s">
        <v>667</v>
      </c>
      <c r="H360" s="1" t="s">
        <v>651</v>
      </c>
      <c r="I360" s="1" t="s">
        <v>652</v>
      </c>
    </row>
    <row r="361" spans="1:9">
      <c r="A361" s="1" t="s">
        <v>2092</v>
      </c>
      <c r="B361" s="1" t="s">
        <v>386</v>
      </c>
      <c r="C361" s="1" t="s">
        <v>2093</v>
      </c>
      <c r="D361" s="1" t="s">
        <v>2094</v>
      </c>
      <c r="E361" s="1" t="s">
        <v>2095</v>
      </c>
      <c r="F361" s="1" t="s">
        <v>3469</v>
      </c>
      <c r="G361" s="1" t="s">
        <v>662</v>
      </c>
      <c r="H361" s="1" t="s">
        <v>651</v>
      </c>
    </row>
    <row r="362" spans="1:9">
      <c r="A362" s="1" t="s">
        <v>2586</v>
      </c>
      <c r="B362" s="1" t="s">
        <v>522</v>
      </c>
      <c r="C362" s="1" t="s">
        <v>2587</v>
      </c>
      <c r="D362" s="1" t="s">
        <v>1757</v>
      </c>
      <c r="E362" s="1" t="s">
        <v>2588</v>
      </c>
      <c r="F362" s="1" t="s">
        <v>3469</v>
      </c>
      <c r="G362" s="1" t="s">
        <v>690</v>
      </c>
      <c r="H362" s="1" t="s">
        <v>651</v>
      </c>
    </row>
    <row r="363" spans="1:9">
      <c r="A363" s="1" t="s">
        <v>977</v>
      </c>
      <c r="B363" s="1" t="s">
        <v>82</v>
      </c>
      <c r="C363" s="1" t="s">
        <v>978</v>
      </c>
      <c r="D363" s="1" t="s">
        <v>979</v>
      </c>
      <c r="E363" s="1" t="s">
        <v>980</v>
      </c>
      <c r="F363" s="1" t="s">
        <v>3469</v>
      </c>
      <c r="G363" s="1" t="s">
        <v>662</v>
      </c>
      <c r="H363" s="1" t="s">
        <v>651</v>
      </c>
      <c r="I363" s="1" t="s">
        <v>691</v>
      </c>
    </row>
    <row r="364" spans="1:9">
      <c r="A364" s="1" t="s">
        <v>1993</v>
      </c>
      <c r="B364" s="1" t="s">
        <v>3560</v>
      </c>
      <c r="C364" s="1" t="s">
        <v>3561</v>
      </c>
      <c r="D364" s="1" t="s">
        <v>3562</v>
      </c>
      <c r="E364" s="1" t="s">
        <v>1994</v>
      </c>
      <c r="F364" s="1" t="s">
        <v>3469</v>
      </c>
      <c r="G364" s="1" t="s">
        <v>662</v>
      </c>
      <c r="H364" s="1" t="s">
        <v>651</v>
      </c>
      <c r="I364" s="1" t="s">
        <v>691</v>
      </c>
    </row>
    <row r="365" spans="1:9">
      <c r="A365" s="1" t="s">
        <v>2390</v>
      </c>
      <c r="B365" s="1" t="s">
        <v>467</v>
      </c>
      <c r="C365" s="1" t="s">
        <v>2391</v>
      </c>
      <c r="D365" s="1" t="s">
        <v>771</v>
      </c>
      <c r="E365" s="1" t="s">
        <v>2392</v>
      </c>
      <c r="F365" s="1" t="s">
        <v>3469</v>
      </c>
      <c r="G365" s="1" t="s">
        <v>657</v>
      </c>
      <c r="H365" s="1" t="s">
        <v>651</v>
      </c>
    </row>
    <row r="366" spans="1:9">
      <c r="A366" s="1" t="s">
        <v>1009</v>
      </c>
      <c r="B366" s="1" t="s">
        <v>91</v>
      </c>
      <c r="C366" s="1" t="s">
        <v>1010</v>
      </c>
      <c r="D366" s="1" t="s">
        <v>1011</v>
      </c>
      <c r="E366" s="1" t="s">
        <v>1012</v>
      </c>
      <c r="F366" s="1" t="s">
        <v>3469</v>
      </c>
      <c r="G366" s="1" t="s">
        <v>690</v>
      </c>
      <c r="H366" s="1" t="s">
        <v>651</v>
      </c>
      <c r="I366" s="1" t="s">
        <v>691</v>
      </c>
    </row>
    <row r="367" spans="1:9">
      <c r="A367" s="1" t="s">
        <v>2100</v>
      </c>
      <c r="B367" s="1" t="s">
        <v>388</v>
      </c>
      <c r="C367" s="1" t="s">
        <v>2101</v>
      </c>
      <c r="D367" s="1" t="s">
        <v>1184</v>
      </c>
      <c r="E367" s="1" t="s">
        <v>2102</v>
      </c>
      <c r="F367" s="1" t="s">
        <v>3469</v>
      </c>
      <c r="G367" s="1" t="s">
        <v>680</v>
      </c>
      <c r="H367" s="1" t="s">
        <v>651</v>
      </c>
    </row>
    <row r="368" spans="1:9">
      <c r="A368" s="1" t="s">
        <v>2615</v>
      </c>
      <c r="B368" s="1" t="s">
        <v>530</v>
      </c>
      <c r="C368" s="1" t="s">
        <v>2616</v>
      </c>
      <c r="D368" s="1" t="s">
        <v>968</v>
      </c>
      <c r="E368" s="1" t="s">
        <v>2617</v>
      </c>
      <c r="F368" s="1" t="s">
        <v>3473</v>
      </c>
      <c r="G368" s="1" t="s">
        <v>2436</v>
      </c>
      <c r="H368" s="1" t="s">
        <v>651</v>
      </c>
      <c r="I368" s="1" t="s">
        <v>691</v>
      </c>
    </row>
    <row r="369" spans="1:9">
      <c r="A369" s="1" t="s">
        <v>1158</v>
      </c>
      <c r="B369" s="1" t="s">
        <v>133</v>
      </c>
      <c r="C369" s="1" t="s">
        <v>1159</v>
      </c>
      <c r="D369" s="1" t="s">
        <v>745</v>
      </c>
      <c r="E369" s="1" t="s">
        <v>1160</v>
      </c>
      <c r="F369" s="1" t="s">
        <v>3469</v>
      </c>
      <c r="G369" s="1" t="s">
        <v>667</v>
      </c>
      <c r="H369" s="1" t="s">
        <v>651</v>
      </c>
      <c r="I369" s="1" t="s">
        <v>691</v>
      </c>
    </row>
    <row r="370" spans="1:9">
      <c r="A370" s="1" t="s">
        <v>2011</v>
      </c>
      <c r="B370" s="1" t="s">
        <v>364</v>
      </c>
      <c r="C370" s="1" t="s">
        <v>2012</v>
      </c>
      <c r="D370" s="1" t="s">
        <v>665</v>
      </c>
      <c r="E370" s="1" t="s">
        <v>2013</v>
      </c>
      <c r="F370" s="1" t="s">
        <v>3469</v>
      </c>
      <c r="G370" s="1" t="s">
        <v>680</v>
      </c>
      <c r="H370" s="1" t="s">
        <v>651</v>
      </c>
      <c r="I370" s="1" t="s">
        <v>691</v>
      </c>
    </row>
    <row r="371" spans="1:9">
      <c r="A371" s="1" t="s">
        <v>1985</v>
      </c>
      <c r="B371" s="1" t="s">
        <v>358</v>
      </c>
      <c r="C371" s="1" t="s">
        <v>1986</v>
      </c>
      <c r="D371" s="1" t="s">
        <v>1987</v>
      </c>
      <c r="E371" s="1" t="s">
        <v>1988</v>
      </c>
      <c r="F371" s="1" t="s">
        <v>3469</v>
      </c>
      <c r="G371" s="1" t="s">
        <v>680</v>
      </c>
      <c r="H371" s="1" t="s">
        <v>651</v>
      </c>
      <c r="I371" s="1" t="s">
        <v>691</v>
      </c>
    </row>
    <row r="372" spans="1:9">
      <c r="A372" s="1" t="s">
        <v>1676</v>
      </c>
      <c r="B372" s="1" t="s">
        <v>271</v>
      </c>
      <c r="C372" s="1" t="s">
        <v>1677</v>
      </c>
      <c r="D372" s="1" t="s">
        <v>736</v>
      </c>
      <c r="E372" s="1" t="s">
        <v>1678</v>
      </c>
      <c r="F372" s="1" t="s">
        <v>3469</v>
      </c>
      <c r="G372" s="1" t="s">
        <v>738</v>
      </c>
      <c r="H372" s="1" t="s">
        <v>651</v>
      </c>
    </row>
    <row r="373" spans="1:9">
      <c r="A373" s="1" t="s">
        <v>1322</v>
      </c>
      <c r="B373" s="1" t="s">
        <v>179</v>
      </c>
      <c r="C373" s="1" t="s">
        <v>1323</v>
      </c>
      <c r="D373" s="1" t="s">
        <v>1324</v>
      </c>
      <c r="E373" s="1" t="s">
        <v>1325</v>
      </c>
      <c r="F373" s="1" t="s">
        <v>3469</v>
      </c>
      <c r="G373" s="1" t="s">
        <v>685</v>
      </c>
      <c r="H373" s="1" t="s">
        <v>651</v>
      </c>
    </row>
    <row r="374" spans="1:9">
      <c r="A374" s="1" t="s">
        <v>1686</v>
      </c>
      <c r="B374" s="1" t="s">
        <v>274</v>
      </c>
      <c r="C374" s="1" t="s">
        <v>1687</v>
      </c>
      <c r="D374" s="1" t="s">
        <v>1688</v>
      </c>
      <c r="E374" s="1" t="s">
        <v>1689</v>
      </c>
      <c r="F374" s="1" t="s">
        <v>3469</v>
      </c>
      <c r="G374" s="1" t="s">
        <v>1074</v>
      </c>
      <c r="H374" s="1" t="s">
        <v>651</v>
      </c>
    </row>
    <row r="375" spans="1:9">
      <c r="A375" s="1" t="s">
        <v>1292</v>
      </c>
      <c r="B375" s="1" t="s">
        <v>170</v>
      </c>
      <c r="C375" s="1" t="s">
        <v>1293</v>
      </c>
      <c r="D375" s="1" t="s">
        <v>1294</v>
      </c>
      <c r="E375" s="1" t="s">
        <v>1295</v>
      </c>
      <c r="F375" s="1" t="s">
        <v>3469</v>
      </c>
      <c r="G375" s="1" t="s">
        <v>662</v>
      </c>
      <c r="H375" s="1" t="s">
        <v>651</v>
      </c>
    </row>
    <row r="376" spans="1:9">
      <c r="A376" s="1" t="s">
        <v>1826</v>
      </c>
      <c r="B376" s="1" t="s">
        <v>314</v>
      </c>
      <c r="C376" s="1" t="s">
        <v>1827</v>
      </c>
      <c r="D376" s="1" t="s">
        <v>719</v>
      </c>
      <c r="E376" s="1" t="s">
        <v>1828</v>
      </c>
      <c r="F376" s="1" t="s">
        <v>3469</v>
      </c>
      <c r="G376" s="1" t="s">
        <v>764</v>
      </c>
      <c r="H376" s="1" t="s">
        <v>651</v>
      </c>
    </row>
    <row r="377" spans="1:9">
      <c r="A377" s="1" t="s">
        <v>2131</v>
      </c>
      <c r="B377" s="1" t="s">
        <v>398</v>
      </c>
      <c r="C377" s="1" t="s">
        <v>2132</v>
      </c>
      <c r="D377" s="1" t="s">
        <v>927</v>
      </c>
      <c r="E377" s="1" t="s">
        <v>2133</v>
      </c>
      <c r="F377" s="1" t="s">
        <v>3469</v>
      </c>
      <c r="G377" s="1" t="s">
        <v>680</v>
      </c>
      <c r="H377" s="1" t="s">
        <v>651</v>
      </c>
      <c r="I377" s="1" t="s">
        <v>691</v>
      </c>
    </row>
    <row r="378" spans="1:9">
      <c r="A378" s="1" t="s">
        <v>1861</v>
      </c>
      <c r="B378" s="1" t="s">
        <v>324</v>
      </c>
      <c r="C378" s="1" t="s">
        <v>669</v>
      </c>
      <c r="D378" s="1" t="s">
        <v>1623</v>
      </c>
      <c r="E378" s="1" t="s">
        <v>1862</v>
      </c>
      <c r="F378" s="1" t="s">
        <v>3469</v>
      </c>
      <c r="G378" s="1" t="s">
        <v>1863</v>
      </c>
      <c r="H378" s="1" t="s">
        <v>651</v>
      </c>
    </row>
    <row r="379" spans="1:9">
      <c r="A379" s="1" t="s">
        <v>1700</v>
      </c>
      <c r="B379" s="1" t="s">
        <v>278</v>
      </c>
      <c r="C379" s="1" t="s">
        <v>1701</v>
      </c>
      <c r="D379" s="1" t="s">
        <v>1702</v>
      </c>
      <c r="E379" s="1" t="s">
        <v>1703</v>
      </c>
      <c r="F379" s="1" t="s">
        <v>3469</v>
      </c>
      <c r="G379" s="1" t="s">
        <v>1074</v>
      </c>
      <c r="H379" s="1" t="s">
        <v>651</v>
      </c>
    </row>
    <row r="380" spans="1:9">
      <c r="A380" s="1" t="s">
        <v>925</v>
      </c>
      <c r="B380" s="1" t="s">
        <v>68</v>
      </c>
      <c r="C380" s="1" t="s">
        <v>926</v>
      </c>
      <c r="D380" s="1" t="s">
        <v>927</v>
      </c>
      <c r="E380" s="1" t="s">
        <v>928</v>
      </c>
      <c r="F380" s="1" t="s">
        <v>3469</v>
      </c>
      <c r="G380" s="1" t="s">
        <v>667</v>
      </c>
      <c r="H380" s="1" t="s">
        <v>651</v>
      </c>
      <c r="I380" s="1" t="s">
        <v>691</v>
      </c>
    </row>
    <row r="381" spans="1:9">
      <c r="A381" s="1" t="s">
        <v>1378</v>
      </c>
      <c r="B381" s="1" t="s">
        <v>194</v>
      </c>
      <c r="C381" s="1" t="s">
        <v>669</v>
      </c>
      <c r="D381" s="1" t="s">
        <v>1379</v>
      </c>
      <c r="E381" s="1" t="s">
        <v>1380</v>
      </c>
      <c r="F381" s="1" t="s">
        <v>3469</v>
      </c>
      <c r="G381" s="1" t="s">
        <v>685</v>
      </c>
      <c r="H381" s="1" t="s">
        <v>651</v>
      </c>
    </row>
    <row r="382" spans="1:9">
      <c r="A382" s="1" t="s">
        <v>1490</v>
      </c>
      <c r="B382" s="1" t="s">
        <v>223</v>
      </c>
      <c r="C382" s="1" t="s">
        <v>1491</v>
      </c>
      <c r="D382" s="1" t="s">
        <v>1258</v>
      </c>
      <c r="E382" s="1" t="s">
        <v>1492</v>
      </c>
      <c r="F382" s="1" t="s">
        <v>3469</v>
      </c>
      <c r="G382" s="1" t="s">
        <v>650</v>
      </c>
      <c r="H382" s="1" t="s">
        <v>651</v>
      </c>
    </row>
    <row r="383" spans="1:9">
      <c r="A383" s="1" t="s">
        <v>2076</v>
      </c>
      <c r="B383" s="1" t="s">
        <v>381</v>
      </c>
      <c r="C383" s="1" t="s">
        <v>2077</v>
      </c>
      <c r="D383" s="1" t="s">
        <v>2078</v>
      </c>
      <c r="E383" s="1" t="s">
        <v>2079</v>
      </c>
      <c r="F383" s="1" t="s">
        <v>3469</v>
      </c>
      <c r="G383" s="1" t="s">
        <v>667</v>
      </c>
      <c r="H383" s="1" t="s">
        <v>651</v>
      </c>
      <c r="I383" s="1" t="s">
        <v>691</v>
      </c>
    </row>
    <row r="384" spans="1:9">
      <c r="A384" s="1" t="s">
        <v>1075</v>
      </c>
      <c r="B384" s="1" t="s">
        <v>109</v>
      </c>
      <c r="C384" s="1" t="s">
        <v>1076</v>
      </c>
      <c r="D384" s="1" t="s">
        <v>927</v>
      </c>
      <c r="E384" s="1" t="s">
        <v>1077</v>
      </c>
      <c r="F384" s="1" t="s">
        <v>3469</v>
      </c>
      <c r="G384" s="1" t="s">
        <v>764</v>
      </c>
      <c r="H384" s="1" t="s">
        <v>651</v>
      </c>
    </row>
    <row r="385" spans="1:9">
      <c r="A385" s="1" t="s">
        <v>2047</v>
      </c>
      <c r="B385" s="1" t="s">
        <v>374</v>
      </c>
      <c r="C385" s="1" t="s">
        <v>2048</v>
      </c>
      <c r="D385" s="1" t="s">
        <v>711</v>
      </c>
      <c r="E385" s="1" t="s">
        <v>2049</v>
      </c>
      <c r="F385" s="1" t="s">
        <v>3469</v>
      </c>
      <c r="G385" s="1" t="s">
        <v>764</v>
      </c>
      <c r="H385" s="1" t="s">
        <v>651</v>
      </c>
      <c r="I385" s="1" t="s">
        <v>691</v>
      </c>
    </row>
    <row r="386" spans="1:9">
      <c r="A386" s="1" t="s">
        <v>1585</v>
      </c>
      <c r="B386" s="1" t="s">
        <v>247</v>
      </c>
      <c r="C386" s="1" t="s">
        <v>1586</v>
      </c>
      <c r="D386" s="1" t="s">
        <v>1587</v>
      </c>
      <c r="E386" s="1" t="s">
        <v>1588</v>
      </c>
      <c r="F386" s="1" t="s">
        <v>3469</v>
      </c>
      <c r="G386" s="1" t="s">
        <v>802</v>
      </c>
      <c r="H386" s="1" t="s">
        <v>651</v>
      </c>
    </row>
    <row r="387" spans="1:9">
      <c r="A387" s="1" t="s">
        <v>2366</v>
      </c>
      <c r="B387" s="1" t="s">
        <v>460</v>
      </c>
      <c r="C387" s="1" t="s">
        <v>2367</v>
      </c>
      <c r="D387" s="1" t="s">
        <v>2368</v>
      </c>
      <c r="E387" s="1" t="s">
        <v>2369</v>
      </c>
      <c r="F387" s="1" t="s">
        <v>3469</v>
      </c>
      <c r="G387" s="1" t="s">
        <v>657</v>
      </c>
      <c r="H387" s="1" t="s">
        <v>651</v>
      </c>
    </row>
    <row r="388" spans="1:9">
      <c r="A388" s="1" t="s">
        <v>1128</v>
      </c>
      <c r="B388" s="1" t="s">
        <v>124</v>
      </c>
      <c r="C388" s="1" t="s">
        <v>1129</v>
      </c>
      <c r="D388" s="1" t="s">
        <v>1130</v>
      </c>
      <c r="E388" s="1" t="s">
        <v>1131</v>
      </c>
      <c r="F388" s="1" t="s">
        <v>3469</v>
      </c>
      <c r="G388" s="1" t="s">
        <v>657</v>
      </c>
      <c r="H388" s="1" t="s">
        <v>651</v>
      </c>
    </row>
    <row r="389" spans="1:9">
      <c r="A389" s="1" t="s">
        <v>2123</v>
      </c>
      <c r="B389" s="1" t="s">
        <v>395</v>
      </c>
      <c r="C389" s="1" t="s">
        <v>669</v>
      </c>
      <c r="D389" s="1" t="s">
        <v>2124</v>
      </c>
      <c r="E389" s="1" t="s">
        <v>2125</v>
      </c>
      <c r="F389" s="1" t="s">
        <v>3469</v>
      </c>
      <c r="G389" s="1" t="s">
        <v>1707</v>
      </c>
      <c r="H389" s="1" t="s">
        <v>651</v>
      </c>
    </row>
    <row r="390" spans="1:9">
      <c r="A390" s="1" t="s">
        <v>668</v>
      </c>
      <c r="B390" s="1" t="s">
        <v>6</v>
      </c>
      <c r="C390" s="1" t="s">
        <v>669</v>
      </c>
      <c r="D390" s="1" t="s">
        <v>670</v>
      </c>
      <c r="E390" s="1" t="s">
        <v>671</v>
      </c>
      <c r="F390" s="1" t="s">
        <v>3469</v>
      </c>
      <c r="G390" s="1" t="s">
        <v>667</v>
      </c>
      <c r="H390" s="1" t="s">
        <v>651</v>
      </c>
    </row>
    <row r="391" spans="1:9">
      <c r="A391" s="1" t="s">
        <v>1523</v>
      </c>
      <c r="B391" s="1" t="s">
        <v>231</v>
      </c>
      <c r="C391" s="1" t="s">
        <v>1524</v>
      </c>
      <c r="E391" s="1" t="s">
        <v>1525</v>
      </c>
      <c r="F391" s="1" t="s">
        <v>3469</v>
      </c>
      <c r="G391" s="1" t="s">
        <v>764</v>
      </c>
      <c r="H391" s="1" t="s">
        <v>651</v>
      </c>
    </row>
    <row r="392" spans="1:9">
      <c r="A392" s="1" t="s">
        <v>2117</v>
      </c>
      <c r="B392" s="1" t="s">
        <v>393</v>
      </c>
      <c r="C392" s="1" t="s">
        <v>1090</v>
      </c>
      <c r="D392" s="1" t="s">
        <v>2118</v>
      </c>
      <c r="E392" s="1" t="s">
        <v>2119</v>
      </c>
      <c r="F392" s="1" t="s">
        <v>3469</v>
      </c>
      <c r="G392" s="1" t="s">
        <v>667</v>
      </c>
      <c r="H392" s="1" t="s">
        <v>651</v>
      </c>
    </row>
    <row r="393" spans="1:9">
      <c r="A393" s="1" t="s">
        <v>2702</v>
      </c>
      <c r="B393" s="1" t="s">
        <v>553</v>
      </c>
      <c r="C393" s="1" t="s">
        <v>2703</v>
      </c>
      <c r="D393" s="1" t="s">
        <v>1873</v>
      </c>
      <c r="E393" s="1" t="s">
        <v>2704</v>
      </c>
      <c r="F393" s="1" t="s">
        <v>3469</v>
      </c>
      <c r="G393" s="1" t="s">
        <v>777</v>
      </c>
      <c r="H393" s="1" t="s">
        <v>651</v>
      </c>
    </row>
    <row r="394" spans="1:9">
      <c r="A394" s="1" t="s">
        <v>2120</v>
      </c>
      <c r="B394" s="1" t="s">
        <v>394</v>
      </c>
      <c r="C394" s="1" t="s">
        <v>669</v>
      </c>
      <c r="D394" s="1" t="s">
        <v>2121</v>
      </c>
      <c r="E394" s="1" t="s">
        <v>2122</v>
      </c>
      <c r="F394" s="1" t="s">
        <v>3469</v>
      </c>
      <c r="G394" s="1" t="s">
        <v>667</v>
      </c>
      <c r="H394" s="1" t="s">
        <v>651</v>
      </c>
    </row>
    <row r="395" spans="1:9">
      <c r="A395" s="1" t="s">
        <v>1999</v>
      </c>
      <c r="B395" s="1" t="s">
        <v>361</v>
      </c>
      <c r="C395" s="1" t="s">
        <v>2000</v>
      </c>
      <c r="D395" s="1" t="s">
        <v>1004</v>
      </c>
      <c r="E395" s="1" t="s">
        <v>2001</v>
      </c>
      <c r="F395" s="1" t="s">
        <v>3469</v>
      </c>
      <c r="G395" s="1" t="s">
        <v>662</v>
      </c>
      <c r="H395" s="1" t="s">
        <v>651</v>
      </c>
      <c r="I395" s="1" t="s">
        <v>691</v>
      </c>
    </row>
    <row r="396" spans="1:9">
      <c r="A396" s="1" t="s">
        <v>1342</v>
      </c>
      <c r="B396" s="1" t="s">
        <v>184</v>
      </c>
      <c r="C396" s="1" t="s">
        <v>1343</v>
      </c>
      <c r="D396" s="1" t="s">
        <v>1344</v>
      </c>
      <c r="E396" s="1" t="s">
        <v>1345</v>
      </c>
      <c r="F396" s="1" t="s">
        <v>3469</v>
      </c>
      <c r="G396" s="1" t="s">
        <v>685</v>
      </c>
      <c r="H396" s="1" t="s">
        <v>651</v>
      </c>
    </row>
    <row r="397" spans="1:9">
      <c r="A397" s="1" t="s">
        <v>955</v>
      </c>
      <c r="B397" s="1" t="s">
        <v>76</v>
      </c>
      <c r="C397" s="1" t="s">
        <v>956</v>
      </c>
      <c r="D397" s="1" t="s">
        <v>957</v>
      </c>
      <c r="E397" s="1" t="s">
        <v>958</v>
      </c>
      <c r="F397" s="1" t="s">
        <v>3469</v>
      </c>
      <c r="G397" s="1" t="s">
        <v>777</v>
      </c>
      <c r="H397" s="1" t="s">
        <v>651</v>
      </c>
      <c r="I397" s="1" t="s">
        <v>691</v>
      </c>
    </row>
    <row r="398" spans="1:9">
      <c r="A398" s="1" t="s">
        <v>3563</v>
      </c>
      <c r="B398" s="1" t="s">
        <v>3564</v>
      </c>
      <c r="C398" s="1" t="s">
        <v>3565</v>
      </c>
      <c r="D398" s="1" t="s">
        <v>1105</v>
      </c>
      <c r="E398" s="1" t="s">
        <v>3566</v>
      </c>
      <c r="F398" s="1" t="s">
        <v>3489</v>
      </c>
      <c r="G398" s="1" t="s">
        <v>3016</v>
      </c>
      <c r="H398" s="1" t="s">
        <v>651</v>
      </c>
      <c r="I398" s="1" t="s">
        <v>691</v>
      </c>
    </row>
    <row r="399" spans="1:9">
      <c r="A399" s="1" t="s">
        <v>2711</v>
      </c>
      <c r="B399" s="1" t="s">
        <v>556</v>
      </c>
      <c r="C399" s="1" t="s">
        <v>2712</v>
      </c>
      <c r="D399" s="1" t="s">
        <v>2713</v>
      </c>
      <c r="E399" s="1" t="s">
        <v>2714</v>
      </c>
      <c r="F399" s="1" t="s">
        <v>3469</v>
      </c>
      <c r="G399" s="1" t="s">
        <v>2669</v>
      </c>
      <c r="H399" s="1" t="s">
        <v>651</v>
      </c>
    </row>
    <row r="400" spans="1:9">
      <c r="A400" s="1" t="s">
        <v>2715</v>
      </c>
      <c r="B400" s="1" t="s">
        <v>556</v>
      </c>
      <c r="C400" s="1" t="s">
        <v>2712</v>
      </c>
      <c r="D400" s="1" t="s">
        <v>2713</v>
      </c>
      <c r="E400" s="1" t="s">
        <v>2716</v>
      </c>
      <c r="F400" s="1" t="s">
        <v>3469</v>
      </c>
      <c r="G400" s="1" t="s">
        <v>2669</v>
      </c>
      <c r="H400" s="1" t="s">
        <v>651</v>
      </c>
    </row>
    <row r="401" spans="1:9">
      <c r="A401" s="1" t="s">
        <v>2806</v>
      </c>
      <c r="B401" s="1" t="s">
        <v>580</v>
      </c>
      <c r="C401" s="1" t="s">
        <v>2807</v>
      </c>
      <c r="D401" s="1" t="s">
        <v>2808</v>
      </c>
      <c r="E401" s="1" t="s">
        <v>2809</v>
      </c>
      <c r="F401" s="1" t="s">
        <v>3477</v>
      </c>
      <c r="G401" s="1" t="s">
        <v>2740</v>
      </c>
      <c r="H401" s="1" t="s">
        <v>651</v>
      </c>
      <c r="I401" s="1" t="s">
        <v>691</v>
      </c>
    </row>
    <row r="402" spans="1:9">
      <c r="A402" s="1" t="s">
        <v>2420</v>
      </c>
      <c r="B402" s="1" t="s">
        <v>476</v>
      </c>
      <c r="C402" s="1" t="s">
        <v>2421</v>
      </c>
      <c r="D402" s="1" t="s">
        <v>2281</v>
      </c>
      <c r="E402" s="1" t="s">
        <v>2422</v>
      </c>
      <c r="F402" s="1" t="s">
        <v>3469</v>
      </c>
      <c r="G402" s="1" t="s">
        <v>777</v>
      </c>
      <c r="H402" s="1" t="s">
        <v>651</v>
      </c>
    </row>
    <row r="403" spans="1:9">
      <c r="A403" s="1" t="s">
        <v>2386</v>
      </c>
      <c r="B403" s="1" t="s">
        <v>466</v>
      </c>
      <c r="C403" s="1" t="s">
        <v>2387</v>
      </c>
      <c r="D403" s="1" t="s">
        <v>2388</v>
      </c>
      <c r="E403" s="1" t="s">
        <v>2389</v>
      </c>
      <c r="F403" s="1" t="s">
        <v>3469</v>
      </c>
      <c r="G403" s="1" t="s">
        <v>2238</v>
      </c>
      <c r="H403" s="1" t="s">
        <v>651</v>
      </c>
    </row>
    <row r="404" spans="1:9">
      <c r="A404" s="1" t="s">
        <v>2624</v>
      </c>
      <c r="B404" s="1" t="s">
        <v>3567</v>
      </c>
      <c r="C404" s="1" t="s">
        <v>1578</v>
      </c>
      <c r="D404" s="1" t="s">
        <v>2511</v>
      </c>
      <c r="E404" s="1" t="s">
        <v>2625</v>
      </c>
      <c r="F404" s="1" t="s">
        <v>3473</v>
      </c>
      <c r="G404" s="1" t="s">
        <v>2436</v>
      </c>
      <c r="H404" s="1" t="s">
        <v>651</v>
      </c>
      <c r="I404" s="1" t="s">
        <v>2458</v>
      </c>
    </row>
    <row r="405" spans="1:9">
      <c r="A405" s="1" t="s">
        <v>2950</v>
      </c>
      <c r="B405" s="1" t="s">
        <v>617</v>
      </c>
      <c r="C405" s="1" t="s">
        <v>2951</v>
      </c>
      <c r="D405" s="1" t="s">
        <v>2952</v>
      </c>
      <c r="E405" s="1" t="s">
        <v>2953</v>
      </c>
      <c r="F405" s="1" t="s">
        <v>3474</v>
      </c>
      <c r="G405" s="1" t="s">
        <v>2914</v>
      </c>
      <c r="H405" s="1" t="s">
        <v>651</v>
      </c>
      <c r="I405" s="1" t="s">
        <v>691</v>
      </c>
    </row>
    <row r="406" spans="1:9">
      <c r="A406" s="1" t="s">
        <v>2675</v>
      </c>
      <c r="B406" s="1" t="s">
        <v>546</v>
      </c>
      <c r="C406" s="1" t="s">
        <v>2676</v>
      </c>
      <c r="D406" s="1" t="s">
        <v>2677</v>
      </c>
      <c r="E406" s="1" t="s">
        <v>2678</v>
      </c>
      <c r="F406" s="1" t="s">
        <v>3483</v>
      </c>
      <c r="G406" s="1" t="s">
        <v>2669</v>
      </c>
      <c r="H406" s="1" t="s">
        <v>651</v>
      </c>
      <c r="I406" s="1" t="s">
        <v>691</v>
      </c>
    </row>
    <row r="407" spans="1:9">
      <c r="A407" s="1" t="s">
        <v>2437</v>
      </c>
      <c r="B407" s="1" t="s">
        <v>481</v>
      </c>
      <c r="C407" s="1" t="s">
        <v>2438</v>
      </c>
      <c r="D407" s="1" t="s">
        <v>2281</v>
      </c>
      <c r="E407" s="1" t="s">
        <v>2439</v>
      </c>
      <c r="F407" s="1" t="s">
        <v>3480</v>
      </c>
      <c r="G407" s="1" t="s">
        <v>2436</v>
      </c>
      <c r="H407" s="1" t="s">
        <v>651</v>
      </c>
      <c r="I407" s="1" t="s">
        <v>691</v>
      </c>
    </row>
    <row r="408" spans="1:9">
      <c r="A408" s="1" t="s">
        <v>2507</v>
      </c>
      <c r="B408" s="1" t="s">
        <v>501</v>
      </c>
      <c r="C408" s="1" t="s">
        <v>2438</v>
      </c>
      <c r="D408" s="1" t="s">
        <v>2281</v>
      </c>
      <c r="E408" s="1" t="s">
        <v>2508</v>
      </c>
      <c r="F408" s="1" t="s">
        <v>3543</v>
      </c>
      <c r="G408" s="1" t="s">
        <v>2488</v>
      </c>
      <c r="H408" s="1" t="s">
        <v>651</v>
      </c>
      <c r="I408" s="1" t="s">
        <v>691</v>
      </c>
    </row>
    <row r="409" spans="1:9">
      <c r="A409" s="1" t="s">
        <v>1089</v>
      </c>
      <c r="B409" s="1" t="s">
        <v>113</v>
      </c>
      <c r="C409" s="1" t="s">
        <v>1090</v>
      </c>
      <c r="D409" s="1" t="s">
        <v>767</v>
      </c>
      <c r="E409" s="1" t="s">
        <v>1091</v>
      </c>
      <c r="F409" s="1" t="s">
        <v>3469</v>
      </c>
      <c r="G409" s="1" t="s">
        <v>777</v>
      </c>
      <c r="H409" s="1" t="s">
        <v>651</v>
      </c>
    </row>
    <row r="410" spans="1:9">
      <c r="A410" s="1" t="s">
        <v>2771</v>
      </c>
      <c r="B410" s="1" t="s">
        <v>571</v>
      </c>
      <c r="C410" s="1" t="s">
        <v>2772</v>
      </c>
      <c r="D410" s="1" t="s">
        <v>2773</v>
      </c>
      <c r="E410" s="1" t="s">
        <v>2774</v>
      </c>
      <c r="F410" s="1" t="s">
        <v>3482</v>
      </c>
      <c r="G410" s="1" t="s">
        <v>2740</v>
      </c>
      <c r="H410" s="1" t="s">
        <v>651</v>
      </c>
      <c r="I410" s="1" t="s">
        <v>691</v>
      </c>
    </row>
    <row r="411" spans="1:9">
      <c r="A411" s="1" t="s">
        <v>2657</v>
      </c>
      <c r="B411" s="1" t="s">
        <v>542</v>
      </c>
      <c r="C411" s="1" t="s">
        <v>2658</v>
      </c>
      <c r="D411" s="1" t="s">
        <v>2659</v>
      </c>
      <c r="E411" s="1" t="s">
        <v>2660</v>
      </c>
      <c r="F411" s="1" t="s">
        <v>3483</v>
      </c>
      <c r="G411" s="1" t="s">
        <v>2488</v>
      </c>
      <c r="H411" s="1" t="s">
        <v>651</v>
      </c>
      <c r="I411" s="1" t="s">
        <v>691</v>
      </c>
    </row>
    <row r="412" spans="1:9">
      <c r="A412" s="1" t="s">
        <v>653</v>
      </c>
      <c r="B412" s="1" t="s">
        <v>3</v>
      </c>
      <c r="C412" s="1" t="s">
        <v>654</v>
      </c>
      <c r="D412" s="1" t="s">
        <v>655</v>
      </c>
      <c r="E412" s="1" t="s">
        <v>656</v>
      </c>
      <c r="F412" s="1" t="s">
        <v>3469</v>
      </c>
      <c r="G412" s="1" t="s">
        <v>657</v>
      </c>
      <c r="H412" s="1" t="s">
        <v>651</v>
      </c>
    </row>
    <row r="413" spans="1:9">
      <c r="A413" s="1" t="s">
        <v>2931</v>
      </c>
      <c r="B413" s="1" t="s">
        <v>612</v>
      </c>
      <c r="C413" s="1" t="s">
        <v>2932</v>
      </c>
      <c r="D413" s="1" t="s">
        <v>2933</v>
      </c>
      <c r="E413" s="1" t="s">
        <v>2934</v>
      </c>
      <c r="F413" s="1" t="s">
        <v>3474</v>
      </c>
      <c r="G413" s="1" t="s">
        <v>2897</v>
      </c>
      <c r="H413" s="1" t="s">
        <v>651</v>
      </c>
      <c r="I413" s="1" t="s">
        <v>691</v>
      </c>
    </row>
    <row r="414" spans="1:9">
      <c r="A414" s="1" t="s">
        <v>2946</v>
      </c>
      <c r="B414" s="1" t="s">
        <v>616</v>
      </c>
      <c r="C414" s="1" t="s">
        <v>2947</v>
      </c>
      <c r="D414" s="1" t="s">
        <v>2948</v>
      </c>
      <c r="E414" s="1" t="s">
        <v>2949</v>
      </c>
      <c r="F414" s="1" t="s">
        <v>3474</v>
      </c>
      <c r="G414" s="1" t="s">
        <v>2897</v>
      </c>
      <c r="H414" s="1" t="s">
        <v>651</v>
      </c>
      <c r="I414" s="1" t="s">
        <v>691</v>
      </c>
    </row>
    <row r="415" spans="1:9">
      <c r="A415" s="1" t="s">
        <v>2054</v>
      </c>
      <c r="B415" s="1" t="s">
        <v>373</v>
      </c>
      <c r="C415" s="1" t="s">
        <v>2044</v>
      </c>
      <c r="D415" s="1" t="s">
        <v>2045</v>
      </c>
      <c r="E415" s="1" t="s">
        <v>2055</v>
      </c>
      <c r="F415" s="1" t="s">
        <v>3469</v>
      </c>
      <c r="G415" s="1" t="s">
        <v>680</v>
      </c>
      <c r="H415" s="1" t="s">
        <v>651</v>
      </c>
      <c r="I415" s="1" t="s">
        <v>691</v>
      </c>
    </row>
    <row r="416" spans="1:9">
      <c r="A416" s="1" t="s">
        <v>2043</v>
      </c>
      <c r="B416" s="1" t="s">
        <v>373</v>
      </c>
      <c r="C416" s="1" t="s">
        <v>2044</v>
      </c>
      <c r="D416" s="1" t="s">
        <v>2045</v>
      </c>
      <c r="E416" s="1" t="s">
        <v>2046</v>
      </c>
      <c r="F416" s="1" t="s">
        <v>3469</v>
      </c>
      <c r="G416" s="1" t="s">
        <v>680</v>
      </c>
      <c r="H416" s="1" t="s">
        <v>651</v>
      </c>
      <c r="I416" s="1" t="s">
        <v>691</v>
      </c>
    </row>
    <row r="417" spans="1:9">
      <c r="A417" s="1" t="s">
        <v>2789</v>
      </c>
      <c r="B417" s="1" t="s">
        <v>575</v>
      </c>
      <c r="C417" s="1" t="s">
        <v>2790</v>
      </c>
      <c r="D417" s="1" t="s">
        <v>2783</v>
      </c>
      <c r="E417" s="1" t="s">
        <v>2791</v>
      </c>
      <c r="F417" s="1" t="s">
        <v>3552</v>
      </c>
      <c r="G417" s="1" t="s">
        <v>2740</v>
      </c>
      <c r="H417" s="1" t="s">
        <v>651</v>
      </c>
      <c r="I417" s="1" t="s">
        <v>691</v>
      </c>
    </row>
    <row r="418" spans="1:9">
      <c r="A418" s="1" t="s">
        <v>2915</v>
      </c>
      <c r="B418" s="1" t="s">
        <v>608</v>
      </c>
      <c r="C418" s="1" t="s">
        <v>2916</v>
      </c>
      <c r="D418" s="1" t="s">
        <v>2917</v>
      </c>
      <c r="E418" s="1" t="s">
        <v>2918</v>
      </c>
      <c r="F418" s="1" t="s">
        <v>3474</v>
      </c>
      <c r="G418" s="1" t="s">
        <v>2897</v>
      </c>
      <c r="H418" s="1" t="s">
        <v>651</v>
      </c>
      <c r="I418" s="1" t="s">
        <v>691</v>
      </c>
    </row>
    <row r="419" spans="1:9">
      <c r="A419" s="1" t="s">
        <v>778</v>
      </c>
      <c r="B419" s="1" t="s">
        <v>30</v>
      </c>
      <c r="C419" s="1" t="s">
        <v>779</v>
      </c>
      <c r="D419" s="1" t="s">
        <v>780</v>
      </c>
      <c r="E419" s="1" t="s">
        <v>781</v>
      </c>
      <c r="F419" s="1" t="s">
        <v>3469</v>
      </c>
      <c r="G419" s="1" t="s">
        <v>729</v>
      </c>
      <c r="H419" s="1" t="s">
        <v>651</v>
      </c>
    </row>
    <row r="420" spans="1:9">
      <c r="A420" s="1" t="s">
        <v>2601</v>
      </c>
      <c r="B420" s="1" t="s">
        <v>526</v>
      </c>
      <c r="C420" s="1" t="s">
        <v>2602</v>
      </c>
      <c r="D420" s="1" t="s">
        <v>2472</v>
      </c>
      <c r="E420" s="1" t="s">
        <v>2603</v>
      </c>
      <c r="F420" s="1" t="s">
        <v>3469</v>
      </c>
      <c r="G420" s="1" t="s">
        <v>2568</v>
      </c>
      <c r="H420" s="1" t="s">
        <v>651</v>
      </c>
    </row>
    <row r="421" spans="1:9">
      <c r="A421" s="1" t="s">
        <v>2954</v>
      </c>
      <c r="B421" s="1" t="s">
        <v>618</v>
      </c>
      <c r="C421" s="1" t="s">
        <v>2955</v>
      </c>
      <c r="D421" s="1" t="s">
        <v>2956</v>
      </c>
      <c r="E421" s="1" t="s">
        <v>2957</v>
      </c>
      <c r="F421" s="1" t="s">
        <v>3474</v>
      </c>
      <c r="G421" s="1" t="s">
        <v>2914</v>
      </c>
      <c r="H421" s="1" t="s">
        <v>651</v>
      </c>
      <c r="I421" s="1" t="s">
        <v>691</v>
      </c>
    </row>
    <row r="422" spans="1:9">
      <c r="A422" s="1" t="s">
        <v>2902</v>
      </c>
      <c r="B422" s="1" t="s">
        <v>605</v>
      </c>
      <c r="C422" s="1" t="s">
        <v>2903</v>
      </c>
      <c r="D422" s="1" t="s">
        <v>2904</v>
      </c>
      <c r="E422" s="1" t="s">
        <v>2905</v>
      </c>
      <c r="F422" s="1" t="s">
        <v>3544</v>
      </c>
      <c r="G422" s="1" t="s">
        <v>2897</v>
      </c>
      <c r="H422" s="1" t="s">
        <v>651</v>
      </c>
      <c r="I422" s="1" t="s">
        <v>691</v>
      </c>
    </row>
    <row r="423" spans="1:9">
      <c r="A423" s="1" t="s">
        <v>1367</v>
      </c>
      <c r="B423" s="1" t="s">
        <v>191</v>
      </c>
      <c r="C423" s="1" t="s">
        <v>1368</v>
      </c>
      <c r="D423" s="1" t="s">
        <v>1369</v>
      </c>
      <c r="E423" s="1" t="s">
        <v>1370</v>
      </c>
      <c r="F423" s="1" t="s">
        <v>3469</v>
      </c>
      <c r="G423" s="1" t="s">
        <v>685</v>
      </c>
      <c r="H423" s="1" t="s">
        <v>651</v>
      </c>
    </row>
    <row r="424" spans="1:9">
      <c r="A424" s="1" t="s">
        <v>2608</v>
      </c>
      <c r="B424" s="1" t="s">
        <v>528</v>
      </c>
      <c r="C424" s="1" t="s">
        <v>2609</v>
      </c>
      <c r="D424" s="1" t="s">
        <v>2610</v>
      </c>
      <c r="E424" s="1" t="s">
        <v>2611</v>
      </c>
      <c r="F424" s="1" t="s">
        <v>3469</v>
      </c>
      <c r="G424" s="1" t="s">
        <v>2436</v>
      </c>
      <c r="H424" s="1" t="s">
        <v>651</v>
      </c>
    </row>
    <row r="425" spans="1:9">
      <c r="A425" s="1" t="s">
        <v>2583</v>
      </c>
      <c r="B425" s="1" t="s">
        <v>521</v>
      </c>
      <c r="C425" s="1" t="s">
        <v>2584</v>
      </c>
      <c r="D425" s="1" t="s">
        <v>1454</v>
      </c>
      <c r="E425" s="1" t="s">
        <v>2585</v>
      </c>
      <c r="F425" s="1" t="s">
        <v>3469</v>
      </c>
      <c r="G425" s="1" t="s">
        <v>2436</v>
      </c>
      <c r="H425" s="1" t="s">
        <v>651</v>
      </c>
    </row>
    <row r="426" spans="1:9">
      <c r="A426" s="1" t="s">
        <v>3568</v>
      </c>
      <c r="B426" s="1" t="s">
        <v>3569</v>
      </c>
      <c r="C426" s="1" t="s">
        <v>3570</v>
      </c>
      <c r="D426" s="1" t="s">
        <v>2865</v>
      </c>
      <c r="E426" s="1" t="s">
        <v>3571</v>
      </c>
      <c r="F426" s="1" t="s">
        <v>3489</v>
      </c>
      <c r="G426" s="1" t="s">
        <v>3016</v>
      </c>
      <c r="H426" s="1" t="s">
        <v>651</v>
      </c>
      <c r="I426" s="1" t="s">
        <v>691</v>
      </c>
    </row>
    <row r="427" spans="1:9">
      <c r="A427" s="1" t="s">
        <v>2747</v>
      </c>
      <c r="B427" s="1" t="s">
        <v>564</v>
      </c>
      <c r="C427" s="1" t="s">
        <v>2748</v>
      </c>
      <c r="D427" s="1" t="s">
        <v>1810</v>
      </c>
      <c r="E427" s="1" t="s">
        <v>2749</v>
      </c>
      <c r="F427" s="1" t="s">
        <v>3469</v>
      </c>
      <c r="G427" s="1" t="s">
        <v>2740</v>
      </c>
      <c r="H427" s="1" t="s">
        <v>651</v>
      </c>
    </row>
    <row r="428" spans="1:9">
      <c r="A428" s="1" t="s">
        <v>1663</v>
      </c>
      <c r="B428" s="1" t="s">
        <v>268</v>
      </c>
      <c r="C428" s="1" t="s">
        <v>1664</v>
      </c>
      <c r="D428" s="1" t="s">
        <v>1665</v>
      </c>
      <c r="E428" s="1" t="s">
        <v>1666</v>
      </c>
      <c r="F428" s="1" t="s">
        <v>3469</v>
      </c>
      <c r="G428" s="1" t="s">
        <v>817</v>
      </c>
      <c r="H428" s="1" t="s">
        <v>651</v>
      </c>
    </row>
    <row r="429" spans="1:9">
      <c r="A429" s="1" t="s">
        <v>2342</v>
      </c>
      <c r="B429" s="1" t="s">
        <v>452</v>
      </c>
      <c r="C429" s="1" t="s">
        <v>2343</v>
      </c>
      <c r="D429" s="1" t="s">
        <v>1080</v>
      </c>
      <c r="E429" s="1" t="s">
        <v>2344</v>
      </c>
      <c r="F429" s="1" t="s">
        <v>3469</v>
      </c>
      <c r="G429" s="1" t="s">
        <v>777</v>
      </c>
      <c r="H429" s="1" t="s">
        <v>651</v>
      </c>
      <c r="I429" s="1" t="s">
        <v>691</v>
      </c>
    </row>
    <row r="430" spans="1:9">
      <c r="A430" s="1" t="s">
        <v>2705</v>
      </c>
      <c r="B430" s="1" t="s">
        <v>554</v>
      </c>
      <c r="C430" s="1" t="s">
        <v>2706</v>
      </c>
      <c r="D430" s="1" t="s">
        <v>968</v>
      </c>
      <c r="E430" s="1" t="s">
        <v>2707</v>
      </c>
      <c r="F430" s="1" t="s">
        <v>3469</v>
      </c>
      <c r="G430" s="1" t="s">
        <v>2238</v>
      </c>
      <c r="H430" s="1" t="s">
        <v>651</v>
      </c>
    </row>
    <row r="431" spans="1:9">
      <c r="A431" s="1" t="s">
        <v>1694</v>
      </c>
      <c r="B431" s="1" t="s">
        <v>276</v>
      </c>
      <c r="C431" s="1" t="s">
        <v>1695</v>
      </c>
      <c r="D431" s="1" t="s">
        <v>688</v>
      </c>
      <c r="E431" s="1" t="s">
        <v>1696</v>
      </c>
      <c r="F431" s="1" t="s">
        <v>3469</v>
      </c>
      <c r="G431" s="1" t="s">
        <v>657</v>
      </c>
      <c r="H431" s="1" t="s">
        <v>651</v>
      </c>
    </row>
    <row r="432" spans="1:9">
      <c r="A432" s="1" t="s">
        <v>2698</v>
      </c>
      <c r="B432" s="1" t="s">
        <v>552</v>
      </c>
      <c r="C432" s="1" t="s">
        <v>2699</v>
      </c>
      <c r="D432" s="1" t="s">
        <v>2700</v>
      </c>
      <c r="E432" s="1" t="s">
        <v>2701</v>
      </c>
      <c r="F432" s="1" t="s">
        <v>3483</v>
      </c>
      <c r="G432" s="1" t="s">
        <v>2669</v>
      </c>
      <c r="H432" s="1" t="s">
        <v>651</v>
      </c>
      <c r="I432" s="1" t="s">
        <v>691</v>
      </c>
    </row>
    <row r="433" spans="1:9">
      <c r="A433" s="1" t="s">
        <v>2534</v>
      </c>
      <c r="B433" s="1" t="s">
        <v>509</v>
      </c>
      <c r="C433" s="1" t="s">
        <v>2535</v>
      </c>
      <c r="D433" s="1" t="s">
        <v>1305</v>
      </c>
      <c r="E433" s="1" t="s">
        <v>2536</v>
      </c>
      <c r="F433" s="1" t="s">
        <v>3537</v>
      </c>
      <c r="G433" s="1" t="s">
        <v>2488</v>
      </c>
      <c r="H433" s="1" t="s">
        <v>651</v>
      </c>
      <c r="I433" s="1" t="s">
        <v>691</v>
      </c>
    </row>
    <row r="434" spans="1:9">
      <c r="A434" s="1" t="s">
        <v>2889</v>
      </c>
      <c r="B434" s="1" t="s">
        <v>602</v>
      </c>
      <c r="C434" s="1" t="s">
        <v>2890</v>
      </c>
      <c r="D434" s="1" t="s">
        <v>2891</v>
      </c>
      <c r="E434" s="1" t="s">
        <v>2892</v>
      </c>
      <c r="F434" s="1" t="s">
        <v>3479</v>
      </c>
      <c r="G434" s="1" t="s">
        <v>2838</v>
      </c>
      <c r="H434" s="1" t="s">
        <v>651</v>
      </c>
      <c r="I434" s="1" t="s">
        <v>691</v>
      </c>
    </row>
    <row r="435" spans="1:9">
      <c r="A435" s="1" t="s">
        <v>2498</v>
      </c>
      <c r="B435" s="1" t="s">
        <v>498</v>
      </c>
      <c r="C435" s="1" t="s">
        <v>1283</v>
      </c>
      <c r="D435" s="1" t="s">
        <v>1284</v>
      </c>
      <c r="E435" s="1" t="s">
        <v>2499</v>
      </c>
      <c r="F435" s="1" t="s">
        <v>3543</v>
      </c>
      <c r="G435" s="1" t="s">
        <v>2436</v>
      </c>
      <c r="H435" s="1" t="s">
        <v>651</v>
      </c>
      <c r="I435" s="1" t="s">
        <v>2458</v>
      </c>
    </row>
    <row r="436" spans="1:9">
      <c r="A436" s="1" t="s">
        <v>2958</v>
      </c>
      <c r="B436" s="1" t="s">
        <v>619</v>
      </c>
      <c r="C436" s="1" t="s">
        <v>2959</v>
      </c>
      <c r="D436" s="1" t="s">
        <v>2960</v>
      </c>
      <c r="E436" s="1" t="s">
        <v>2961</v>
      </c>
      <c r="F436" s="1" t="s">
        <v>3474</v>
      </c>
      <c r="G436" s="1" t="s">
        <v>2914</v>
      </c>
      <c r="H436" s="1" t="s">
        <v>651</v>
      </c>
      <c r="I436" s="1" t="s">
        <v>691</v>
      </c>
    </row>
    <row r="437" spans="1:9">
      <c r="A437" s="1" t="s">
        <v>1282</v>
      </c>
      <c r="B437" s="1" t="s">
        <v>168</v>
      </c>
      <c r="C437" s="1" t="s">
        <v>1283</v>
      </c>
      <c r="D437" s="1" t="s">
        <v>1284</v>
      </c>
      <c r="E437" s="1" t="s">
        <v>1285</v>
      </c>
      <c r="F437" s="1" t="s">
        <v>3469</v>
      </c>
      <c r="G437" s="1" t="s">
        <v>738</v>
      </c>
      <c r="H437" s="1" t="s">
        <v>651</v>
      </c>
    </row>
    <row r="438" spans="1:9">
      <c r="A438" s="1" t="s">
        <v>1279</v>
      </c>
      <c r="B438" s="1" t="s">
        <v>167</v>
      </c>
      <c r="C438" s="1" t="s">
        <v>669</v>
      </c>
      <c r="D438" s="1" t="s">
        <v>1280</v>
      </c>
      <c r="E438" s="1" t="s">
        <v>1281</v>
      </c>
      <c r="F438" s="1" t="s">
        <v>3469</v>
      </c>
      <c r="G438" s="1" t="s">
        <v>738</v>
      </c>
      <c r="H438" s="1" t="s">
        <v>651</v>
      </c>
    </row>
    <row r="439" spans="1:9">
      <c r="A439" s="1" t="s">
        <v>1307</v>
      </c>
      <c r="B439" s="1" t="s">
        <v>174</v>
      </c>
      <c r="C439" s="1" t="s">
        <v>1308</v>
      </c>
      <c r="D439" s="1" t="s">
        <v>1280</v>
      </c>
      <c r="E439" s="1" t="s">
        <v>1309</v>
      </c>
      <c r="F439" s="1" t="s">
        <v>3469</v>
      </c>
      <c r="G439" s="1" t="s">
        <v>685</v>
      </c>
      <c r="H439" s="1" t="s">
        <v>651</v>
      </c>
    </row>
    <row r="440" spans="1:9">
      <c r="A440" s="1" t="s">
        <v>2654</v>
      </c>
      <c r="B440" s="1" t="s">
        <v>541</v>
      </c>
      <c r="C440" s="1" t="s">
        <v>2655</v>
      </c>
      <c r="D440" s="1" t="s">
        <v>1848</v>
      </c>
      <c r="E440" s="1" t="s">
        <v>2656</v>
      </c>
      <c r="F440" s="1" t="s">
        <v>3473</v>
      </c>
      <c r="G440" s="1" t="s">
        <v>2568</v>
      </c>
      <c r="H440" s="1" t="s">
        <v>651</v>
      </c>
      <c r="I440" s="1" t="s">
        <v>691</v>
      </c>
    </row>
    <row r="441" spans="1:9">
      <c r="A441" s="1" t="s">
        <v>2796</v>
      </c>
      <c r="B441" s="1" t="s">
        <v>577</v>
      </c>
      <c r="C441" s="1" t="s">
        <v>2797</v>
      </c>
      <c r="D441" s="1" t="s">
        <v>2511</v>
      </c>
      <c r="E441" s="1" t="s">
        <v>2798</v>
      </c>
      <c r="F441" s="1" t="s">
        <v>3469</v>
      </c>
      <c r="G441" s="1" t="s">
        <v>2740</v>
      </c>
      <c r="H441" s="1" t="s">
        <v>651</v>
      </c>
    </row>
    <row r="442" spans="1:9">
      <c r="A442" s="1" t="s">
        <v>2031</v>
      </c>
      <c r="B442" s="1" t="s">
        <v>370</v>
      </c>
      <c r="C442" s="1" t="s">
        <v>2032</v>
      </c>
      <c r="D442" s="1" t="s">
        <v>655</v>
      </c>
      <c r="E442" s="1" t="s">
        <v>2033</v>
      </c>
      <c r="F442" s="1" t="s">
        <v>3469</v>
      </c>
      <c r="G442" s="1" t="s">
        <v>662</v>
      </c>
      <c r="H442" s="1" t="s">
        <v>651</v>
      </c>
      <c r="I442" s="1" t="s">
        <v>691</v>
      </c>
    </row>
    <row r="443" spans="1:9">
      <c r="A443" s="1" t="s">
        <v>2409</v>
      </c>
      <c r="B443" s="1" t="s">
        <v>473</v>
      </c>
      <c r="C443" s="1" t="s">
        <v>2410</v>
      </c>
      <c r="D443" s="1" t="s">
        <v>2411</v>
      </c>
      <c r="E443" s="1" t="s">
        <v>2412</v>
      </c>
      <c r="F443" s="1" t="s">
        <v>3472</v>
      </c>
      <c r="G443" s="1" t="s">
        <v>657</v>
      </c>
      <c r="H443" s="1" t="s">
        <v>651</v>
      </c>
      <c r="I443" s="1" t="s">
        <v>691</v>
      </c>
    </row>
    <row r="444" spans="1:9">
      <c r="A444" s="1" t="s">
        <v>1078</v>
      </c>
      <c r="B444" s="1" t="s">
        <v>110</v>
      </c>
      <c r="C444" s="1" t="s">
        <v>1079</v>
      </c>
      <c r="D444" s="1" t="s">
        <v>1080</v>
      </c>
      <c r="E444" s="1" t="s">
        <v>1081</v>
      </c>
      <c r="F444" s="1" t="s">
        <v>3469</v>
      </c>
      <c r="G444" s="1" t="s">
        <v>667</v>
      </c>
      <c r="H444" s="1" t="s">
        <v>651</v>
      </c>
      <c r="I444" s="1" t="s">
        <v>691</v>
      </c>
    </row>
    <row r="445" spans="1:9">
      <c r="A445" s="1" t="s">
        <v>1335</v>
      </c>
      <c r="B445" s="1" t="s">
        <v>182</v>
      </c>
      <c r="C445" s="1" t="s">
        <v>1336</v>
      </c>
      <c r="D445" s="1" t="s">
        <v>1337</v>
      </c>
      <c r="E445" s="1" t="s">
        <v>1338</v>
      </c>
      <c r="F445" s="1" t="s">
        <v>3469</v>
      </c>
      <c r="G445" s="1" t="s">
        <v>1074</v>
      </c>
      <c r="H445" s="1" t="s">
        <v>651</v>
      </c>
      <c r="I445" s="1" t="s">
        <v>822</v>
      </c>
    </row>
    <row r="446" spans="1:9">
      <c r="A446" s="1" t="s">
        <v>755</v>
      </c>
      <c r="B446" s="1" t="s">
        <v>3572</v>
      </c>
      <c r="C446" s="1" t="s">
        <v>3573</v>
      </c>
      <c r="D446" s="1" t="s">
        <v>655</v>
      </c>
      <c r="E446" s="1" t="s">
        <v>757</v>
      </c>
      <c r="F446" s="1" t="s">
        <v>3469</v>
      </c>
      <c r="G446" s="1" t="s">
        <v>667</v>
      </c>
      <c r="H446" s="1" t="s">
        <v>651</v>
      </c>
      <c r="I446" s="1" t="s">
        <v>691</v>
      </c>
    </row>
    <row r="447" spans="1:9">
      <c r="A447" s="1" t="s">
        <v>2286</v>
      </c>
      <c r="B447" s="1" t="s">
        <v>441</v>
      </c>
      <c r="C447" s="1" t="s">
        <v>2287</v>
      </c>
      <c r="D447" s="1" t="s">
        <v>2236</v>
      </c>
      <c r="E447" s="1" t="s">
        <v>2288</v>
      </c>
      <c r="F447" s="1" t="s">
        <v>3469</v>
      </c>
      <c r="G447" s="1" t="s">
        <v>690</v>
      </c>
      <c r="H447" s="1" t="s">
        <v>651</v>
      </c>
      <c r="I447" s="1" t="s">
        <v>691</v>
      </c>
    </row>
    <row r="448" spans="1:9">
      <c r="A448" s="1" t="s">
        <v>2440</v>
      </c>
      <c r="B448" s="1" t="s">
        <v>482</v>
      </c>
      <c r="C448" s="1" t="s">
        <v>2441</v>
      </c>
      <c r="D448" s="1" t="s">
        <v>2442</v>
      </c>
      <c r="E448" s="1" t="s">
        <v>2443</v>
      </c>
      <c r="F448" s="1" t="s">
        <v>3480</v>
      </c>
      <c r="G448" s="1" t="s">
        <v>2436</v>
      </c>
      <c r="H448" s="1" t="s">
        <v>651</v>
      </c>
      <c r="I448" s="1" t="s">
        <v>691</v>
      </c>
    </row>
    <row r="449" spans="1:9">
      <c r="A449" s="1" t="s">
        <v>2406</v>
      </c>
      <c r="B449" s="1" t="s">
        <v>472</v>
      </c>
      <c r="C449" s="1" t="s">
        <v>2407</v>
      </c>
      <c r="D449" s="1" t="s">
        <v>2236</v>
      </c>
      <c r="E449" s="1" t="s">
        <v>2408</v>
      </c>
      <c r="F449" s="1" t="s">
        <v>3472</v>
      </c>
      <c r="G449" s="1" t="s">
        <v>2238</v>
      </c>
      <c r="H449" s="1" t="s">
        <v>651</v>
      </c>
      <c r="I449" s="1" t="s">
        <v>691</v>
      </c>
    </row>
    <row r="450" spans="1:9">
      <c r="A450" s="1" t="s">
        <v>2786</v>
      </c>
      <c r="B450" s="1" t="s">
        <v>574</v>
      </c>
      <c r="C450" s="1" t="s">
        <v>2787</v>
      </c>
      <c r="D450" s="1" t="s">
        <v>2783</v>
      </c>
      <c r="E450" s="1" t="s">
        <v>2788</v>
      </c>
      <c r="F450" s="1" t="s">
        <v>3552</v>
      </c>
      <c r="G450" s="1" t="s">
        <v>2740</v>
      </c>
      <c r="H450" s="1" t="s">
        <v>651</v>
      </c>
      <c r="I450" s="1" t="s">
        <v>691</v>
      </c>
    </row>
    <row r="451" spans="1:9">
      <c r="A451" s="1" t="s">
        <v>947</v>
      </c>
      <c r="B451" s="1" t="s">
        <v>74</v>
      </c>
      <c r="C451" s="1" t="s">
        <v>948</v>
      </c>
      <c r="D451" s="1" t="s">
        <v>949</v>
      </c>
      <c r="E451" s="1" t="s">
        <v>950</v>
      </c>
      <c r="F451" s="1" t="s">
        <v>3469</v>
      </c>
      <c r="G451" s="1" t="s">
        <v>777</v>
      </c>
      <c r="H451" s="1" t="s">
        <v>651</v>
      </c>
    </row>
    <row r="452" spans="1:9">
      <c r="A452" s="1" t="s">
        <v>2736</v>
      </c>
      <c r="B452" s="1" t="s">
        <v>562</v>
      </c>
      <c r="C452" s="1" t="s">
        <v>2737</v>
      </c>
      <c r="D452" s="1" t="s">
        <v>2738</v>
      </c>
      <c r="E452" s="1" t="s">
        <v>2739</v>
      </c>
      <c r="F452" s="1" t="s">
        <v>3481</v>
      </c>
      <c r="G452" s="1" t="s">
        <v>2740</v>
      </c>
      <c r="H452" s="1" t="s">
        <v>651</v>
      </c>
      <c r="I452" s="1" t="s">
        <v>691</v>
      </c>
    </row>
    <row r="453" spans="1:9">
      <c r="A453" s="1" t="s">
        <v>997</v>
      </c>
      <c r="B453" s="1" t="s">
        <v>87</v>
      </c>
      <c r="C453" s="1" t="s">
        <v>861</v>
      </c>
      <c r="D453" s="1" t="s">
        <v>862</v>
      </c>
      <c r="E453" s="1" t="s">
        <v>998</v>
      </c>
      <c r="F453" s="1" t="s">
        <v>3469</v>
      </c>
      <c r="G453" s="1" t="s">
        <v>662</v>
      </c>
      <c r="H453" s="1" t="s">
        <v>651</v>
      </c>
      <c r="I453" s="1" t="s">
        <v>691</v>
      </c>
    </row>
    <row r="454" spans="1:9">
      <c r="A454" s="1" t="s">
        <v>860</v>
      </c>
      <c r="B454" s="1" t="s">
        <v>51</v>
      </c>
      <c r="C454" s="1" t="s">
        <v>861</v>
      </c>
      <c r="D454" s="1" t="s">
        <v>862</v>
      </c>
      <c r="E454" s="1" t="s">
        <v>863</v>
      </c>
      <c r="F454" s="1" t="s">
        <v>3469</v>
      </c>
      <c r="G454" s="1" t="s">
        <v>662</v>
      </c>
      <c r="H454" s="1" t="s">
        <v>651</v>
      </c>
      <c r="I454" s="1" t="s">
        <v>691</v>
      </c>
    </row>
    <row r="455" spans="1:9">
      <c r="A455" s="1" t="s">
        <v>2063</v>
      </c>
      <c r="B455" s="1" t="s">
        <v>3574</v>
      </c>
      <c r="C455" s="1" t="s">
        <v>3575</v>
      </c>
      <c r="D455" s="1" t="s">
        <v>2696</v>
      </c>
      <c r="E455" s="1" t="s">
        <v>2064</v>
      </c>
      <c r="F455" s="1" t="s">
        <v>3469</v>
      </c>
      <c r="G455" s="1" t="s">
        <v>662</v>
      </c>
      <c r="H455" s="1" t="s">
        <v>651</v>
      </c>
      <c r="I455" s="1" t="s">
        <v>691</v>
      </c>
    </row>
    <row r="456" spans="1:9">
      <c r="A456" s="1" t="s">
        <v>2188</v>
      </c>
      <c r="B456" s="1" t="s">
        <v>416</v>
      </c>
      <c r="C456" s="1" t="s">
        <v>2189</v>
      </c>
      <c r="D456" s="1" t="s">
        <v>862</v>
      </c>
      <c r="E456" s="1" t="s">
        <v>2190</v>
      </c>
      <c r="F456" s="1" t="s">
        <v>3469</v>
      </c>
      <c r="G456" s="1" t="s">
        <v>667</v>
      </c>
      <c r="H456" s="1" t="s">
        <v>651</v>
      </c>
      <c r="I456" s="1" t="s">
        <v>691</v>
      </c>
    </row>
    <row r="457" spans="1:9">
      <c r="A457" s="1" t="s">
        <v>2403</v>
      </c>
      <c r="B457" s="1" t="s">
        <v>471</v>
      </c>
      <c r="C457" s="1" t="s">
        <v>2404</v>
      </c>
      <c r="D457" s="1" t="s">
        <v>1080</v>
      </c>
      <c r="E457" s="1" t="s">
        <v>2405</v>
      </c>
      <c r="F457" s="1" t="s">
        <v>3472</v>
      </c>
      <c r="G457" s="1" t="s">
        <v>657</v>
      </c>
      <c r="H457" s="1" t="s">
        <v>651</v>
      </c>
      <c r="I457" s="1" t="s">
        <v>691</v>
      </c>
    </row>
    <row r="458" spans="1:9">
      <c r="A458" s="1" t="s">
        <v>2640</v>
      </c>
      <c r="B458" s="1" t="s">
        <v>537</v>
      </c>
      <c r="C458" s="1" t="s">
        <v>2641</v>
      </c>
      <c r="D458" s="1" t="s">
        <v>2642</v>
      </c>
      <c r="E458" s="1" t="s">
        <v>2643</v>
      </c>
      <c r="F458" s="1" t="s">
        <v>3473</v>
      </c>
      <c r="G458" s="1" t="s">
        <v>2568</v>
      </c>
      <c r="H458" s="1" t="s">
        <v>651</v>
      </c>
      <c r="I458" s="1" t="s">
        <v>2458</v>
      </c>
    </row>
    <row r="459" spans="1:9">
      <c r="A459" s="1" t="s">
        <v>2867</v>
      </c>
      <c r="B459" s="1" t="s">
        <v>596</v>
      </c>
      <c r="C459" s="1" t="s">
        <v>2868</v>
      </c>
      <c r="D459" s="1" t="s">
        <v>2869</v>
      </c>
      <c r="E459" s="1" t="s">
        <v>2870</v>
      </c>
      <c r="F459" s="1" t="s">
        <v>3479</v>
      </c>
      <c r="G459" s="1" t="s">
        <v>2838</v>
      </c>
      <c r="H459" s="1" t="s">
        <v>651</v>
      </c>
      <c r="I459" s="1" t="s">
        <v>2871</v>
      </c>
    </row>
    <row r="460" spans="1:9">
      <c r="A460" s="1" t="s">
        <v>2509</v>
      </c>
      <c r="B460" s="1" t="s">
        <v>502</v>
      </c>
      <c r="C460" s="1" t="s">
        <v>2510</v>
      </c>
      <c r="D460" s="1" t="s">
        <v>2511</v>
      </c>
      <c r="E460" s="1" t="s">
        <v>2512</v>
      </c>
      <c r="F460" s="1" t="s">
        <v>3543</v>
      </c>
      <c r="G460" s="1" t="s">
        <v>2488</v>
      </c>
      <c r="H460" s="1" t="s">
        <v>651</v>
      </c>
      <c r="I460" s="1" t="s">
        <v>2458</v>
      </c>
    </row>
    <row r="461" spans="1:9">
      <c r="A461" s="1" t="s">
        <v>993</v>
      </c>
      <c r="B461" s="1" t="s">
        <v>86</v>
      </c>
      <c r="C461" s="1" t="s">
        <v>994</v>
      </c>
      <c r="D461" s="1" t="s">
        <v>995</v>
      </c>
      <c r="E461" s="1" t="s">
        <v>996</v>
      </c>
      <c r="F461" s="1" t="s">
        <v>3469</v>
      </c>
      <c r="G461" s="1" t="s">
        <v>690</v>
      </c>
      <c r="H461" s="1" t="s">
        <v>651</v>
      </c>
      <c r="I461" s="1" t="s">
        <v>691</v>
      </c>
    </row>
    <row r="462" spans="1:9">
      <c r="A462" s="1" t="s">
        <v>1313</v>
      </c>
      <c r="B462" s="1" t="s">
        <v>176</v>
      </c>
      <c r="C462" s="1" t="s">
        <v>1314</v>
      </c>
      <c r="D462" s="1" t="s">
        <v>756</v>
      </c>
      <c r="E462" s="1" t="s">
        <v>1315</v>
      </c>
      <c r="F462" s="1" t="s">
        <v>3469</v>
      </c>
      <c r="G462" s="1" t="s">
        <v>650</v>
      </c>
      <c r="H462" s="1" t="s">
        <v>651</v>
      </c>
    </row>
    <row r="463" spans="1:9">
      <c r="A463" s="1" t="s">
        <v>2517</v>
      </c>
      <c r="B463" s="1" t="s">
        <v>504</v>
      </c>
      <c r="C463" s="1" t="s">
        <v>2518</v>
      </c>
      <c r="D463" s="1" t="s">
        <v>2519</v>
      </c>
      <c r="E463" s="1" t="s">
        <v>2520</v>
      </c>
      <c r="F463" s="1" t="s">
        <v>3537</v>
      </c>
      <c r="G463" s="1" t="s">
        <v>2488</v>
      </c>
      <c r="H463" s="1" t="s">
        <v>651</v>
      </c>
      <c r="I463" s="1" t="s">
        <v>691</v>
      </c>
    </row>
    <row r="464" spans="1:9">
      <c r="A464" s="1" t="s">
        <v>868</v>
      </c>
      <c r="B464" s="1" t="s">
        <v>53</v>
      </c>
      <c r="C464" s="1" t="s">
        <v>869</v>
      </c>
      <c r="D464" s="1" t="s">
        <v>688</v>
      </c>
      <c r="E464" s="1" t="s">
        <v>870</v>
      </c>
      <c r="F464" s="1" t="s">
        <v>3469</v>
      </c>
      <c r="G464" s="1" t="s">
        <v>777</v>
      </c>
      <c r="H464" s="1" t="s">
        <v>651</v>
      </c>
      <c r="I464" s="1" t="s">
        <v>691</v>
      </c>
    </row>
    <row r="465" spans="1:9">
      <c r="A465" s="1" t="s">
        <v>2485</v>
      </c>
      <c r="B465" s="1" t="s">
        <v>494</v>
      </c>
      <c r="C465" s="1" t="s">
        <v>2486</v>
      </c>
      <c r="D465" s="1" t="s">
        <v>2442</v>
      </c>
      <c r="E465" s="1" t="s">
        <v>2487</v>
      </c>
      <c r="F465" s="1" t="s">
        <v>3541</v>
      </c>
      <c r="G465" s="1" t="s">
        <v>2488</v>
      </c>
      <c r="H465" s="1" t="s">
        <v>651</v>
      </c>
      <c r="I465" s="1" t="s">
        <v>691</v>
      </c>
    </row>
    <row r="466" spans="1:9">
      <c r="A466" s="1" t="s">
        <v>1656</v>
      </c>
      <c r="B466" s="1" t="s">
        <v>265</v>
      </c>
      <c r="C466" s="1" t="s">
        <v>851</v>
      </c>
      <c r="D466" s="1" t="s">
        <v>1080</v>
      </c>
      <c r="E466" s="1" t="s">
        <v>1657</v>
      </c>
      <c r="F466" s="1" t="s">
        <v>3469</v>
      </c>
      <c r="G466" s="1" t="s">
        <v>650</v>
      </c>
      <c r="H466" s="1" t="s">
        <v>651</v>
      </c>
    </row>
    <row r="467" spans="1:9">
      <c r="A467" s="1" t="s">
        <v>2318</v>
      </c>
      <c r="B467" s="1" t="s">
        <v>265</v>
      </c>
      <c r="C467" s="1" t="s">
        <v>851</v>
      </c>
      <c r="D467" s="1" t="s">
        <v>1080</v>
      </c>
      <c r="E467" s="1" t="s">
        <v>2319</v>
      </c>
      <c r="F467" s="1" t="s">
        <v>3469</v>
      </c>
      <c r="G467" s="1" t="s">
        <v>650</v>
      </c>
      <c r="H467" s="1" t="s">
        <v>651</v>
      </c>
    </row>
    <row r="468" spans="1:9">
      <c r="A468" s="1" t="s">
        <v>2690</v>
      </c>
      <c r="B468" s="1" t="s">
        <v>550</v>
      </c>
      <c r="C468" s="1" t="s">
        <v>2691</v>
      </c>
      <c r="D468" s="1" t="s">
        <v>2692</v>
      </c>
      <c r="E468" s="1" t="s">
        <v>2693</v>
      </c>
      <c r="F468" s="1" t="s">
        <v>3483</v>
      </c>
      <c r="G468" s="1" t="s">
        <v>2669</v>
      </c>
      <c r="H468" s="1" t="s">
        <v>651</v>
      </c>
      <c r="I468" s="1" t="s">
        <v>691</v>
      </c>
    </row>
    <row r="469" spans="1:9">
      <c r="A469" s="1" t="s">
        <v>2810</v>
      </c>
      <c r="B469" s="1" t="s">
        <v>581</v>
      </c>
      <c r="C469" s="1" t="s">
        <v>2811</v>
      </c>
      <c r="D469" s="1" t="s">
        <v>2812</v>
      </c>
      <c r="E469" s="1" t="s">
        <v>2813</v>
      </c>
      <c r="F469" s="1" t="s">
        <v>3477</v>
      </c>
      <c r="G469" s="1" t="s">
        <v>2740</v>
      </c>
      <c r="H469" s="1" t="s">
        <v>651</v>
      </c>
      <c r="I469" s="1" t="s">
        <v>691</v>
      </c>
    </row>
    <row r="470" spans="1:9">
      <c r="A470" s="1" t="s">
        <v>2973</v>
      </c>
      <c r="B470" s="1" t="s">
        <v>623</v>
      </c>
      <c r="C470" s="1" t="s">
        <v>2974</v>
      </c>
      <c r="D470" s="1" t="s">
        <v>2975</v>
      </c>
      <c r="E470" s="1" t="s">
        <v>2976</v>
      </c>
      <c r="F470" s="1" t="s">
        <v>3559</v>
      </c>
      <c r="G470" s="1" t="s">
        <v>2914</v>
      </c>
      <c r="H470" s="1" t="s">
        <v>651</v>
      </c>
      <c r="I470" s="1" t="s">
        <v>691</v>
      </c>
    </row>
    <row r="471" spans="1:9">
      <c r="A471" s="1" t="s">
        <v>2572</v>
      </c>
      <c r="B471" s="1" t="s">
        <v>518</v>
      </c>
      <c r="C471" s="1" t="s">
        <v>2573</v>
      </c>
      <c r="D471" s="1" t="s">
        <v>2574</v>
      </c>
      <c r="E471" s="1" t="s">
        <v>2575</v>
      </c>
      <c r="F471" s="1" t="s">
        <v>3475</v>
      </c>
      <c r="G471" s="1" t="s">
        <v>2488</v>
      </c>
      <c r="H471" s="1" t="s">
        <v>651</v>
      </c>
      <c r="I471" s="1" t="s">
        <v>691</v>
      </c>
    </row>
    <row r="472" spans="1:9">
      <c r="A472" s="1" t="s">
        <v>2359</v>
      </c>
      <c r="B472" s="1" t="s">
        <v>458</v>
      </c>
      <c r="C472" s="1" t="s">
        <v>669</v>
      </c>
      <c r="D472" s="1" t="s">
        <v>2360</v>
      </c>
      <c r="E472" s="1" t="s">
        <v>2361</v>
      </c>
      <c r="F472" s="1" t="s">
        <v>3469</v>
      </c>
      <c r="G472" s="1" t="s">
        <v>777</v>
      </c>
      <c r="H472" s="1" t="s">
        <v>651</v>
      </c>
      <c r="I472" s="1" t="s">
        <v>691</v>
      </c>
    </row>
    <row r="473" spans="1:9">
      <c r="A473" s="1" t="s">
        <v>1339</v>
      </c>
      <c r="B473" s="1" t="s">
        <v>183</v>
      </c>
      <c r="C473" s="1" t="s">
        <v>1340</v>
      </c>
      <c r="D473" s="1" t="s">
        <v>780</v>
      </c>
      <c r="E473" s="1" t="s">
        <v>1341</v>
      </c>
      <c r="F473" s="1" t="s">
        <v>3469</v>
      </c>
      <c r="G473" s="1" t="s">
        <v>738</v>
      </c>
      <c r="H473" s="1" t="s">
        <v>651</v>
      </c>
      <c r="I473" s="1" t="s">
        <v>822</v>
      </c>
    </row>
    <row r="474" spans="1:9">
      <c r="A474" s="1" t="s">
        <v>1510</v>
      </c>
      <c r="B474" s="1" t="s">
        <v>228</v>
      </c>
      <c r="C474" s="1" t="s">
        <v>669</v>
      </c>
      <c r="D474" s="1" t="s">
        <v>1511</v>
      </c>
      <c r="E474" s="1" t="s">
        <v>1512</v>
      </c>
      <c r="F474" s="1" t="s">
        <v>3469</v>
      </c>
      <c r="G474" s="1" t="s">
        <v>889</v>
      </c>
      <c r="H474" s="1" t="s">
        <v>651</v>
      </c>
    </row>
    <row r="475" spans="1:9">
      <c r="A475" s="1" t="s">
        <v>1371</v>
      </c>
      <c r="B475" s="1" t="s">
        <v>192</v>
      </c>
      <c r="C475" s="1" t="s">
        <v>669</v>
      </c>
      <c r="D475" s="1" t="s">
        <v>1372</v>
      </c>
      <c r="E475" s="1" t="s">
        <v>1373</v>
      </c>
      <c r="F475" s="1" t="s">
        <v>3469</v>
      </c>
      <c r="G475" s="1" t="s">
        <v>802</v>
      </c>
      <c r="H475" s="1" t="s">
        <v>651</v>
      </c>
    </row>
    <row r="476" spans="1:9">
      <c r="A476" s="1" t="s">
        <v>1404</v>
      </c>
      <c r="B476" s="1" t="s">
        <v>201</v>
      </c>
      <c r="C476" s="1" t="s">
        <v>1405</v>
      </c>
      <c r="D476" s="1" t="s">
        <v>1406</v>
      </c>
      <c r="E476" s="1" t="s">
        <v>1407</v>
      </c>
      <c r="F476" s="1" t="s">
        <v>3469</v>
      </c>
      <c r="G476" s="1" t="s">
        <v>837</v>
      </c>
      <c r="H476" s="1" t="s">
        <v>651</v>
      </c>
    </row>
    <row r="477" spans="1:9">
      <c r="A477" s="1" t="s">
        <v>1155</v>
      </c>
      <c r="B477" s="1" t="s">
        <v>132</v>
      </c>
      <c r="C477" s="1" t="s">
        <v>669</v>
      </c>
      <c r="D477" s="1" t="s">
        <v>1156</v>
      </c>
      <c r="E477" s="1" t="s">
        <v>1157</v>
      </c>
      <c r="F477" s="1" t="s">
        <v>3469</v>
      </c>
      <c r="G477" s="1" t="s">
        <v>704</v>
      </c>
      <c r="H477" s="1" t="s">
        <v>651</v>
      </c>
    </row>
    <row r="478" spans="1:9">
      <c r="A478" s="1" t="s">
        <v>1171</v>
      </c>
      <c r="B478" s="1" t="s">
        <v>137</v>
      </c>
      <c r="C478" s="1" t="s">
        <v>669</v>
      </c>
      <c r="D478" s="1" t="s">
        <v>1172</v>
      </c>
      <c r="E478" s="1" t="s">
        <v>1173</v>
      </c>
      <c r="F478" s="1" t="s">
        <v>3469</v>
      </c>
      <c r="G478" s="1" t="s">
        <v>1074</v>
      </c>
      <c r="H478" s="1" t="s">
        <v>651</v>
      </c>
    </row>
    <row r="479" spans="1:9">
      <c r="A479" s="1" t="s">
        <v>2166</v>
      </c>
      <c r="B479" s="1" t="s">
        <v>409</v>
      </c>
      <c r="C479" s="1" t="s">
        <v>2167</v>
      </c>
      <c r="D479" s="1" t="s">
        <v>1244</v>
      </c>
      <c r="E479" s="1" t="s">
        <v>2168</v>
      </c>
      <c r="F479" s="1" t="s">
        <v>3469</v>
      </c>
      <c r="G479" s="1" t="s">
        <v>764</v>
      </c>
      <c r="H479" s="1" t="s">
        <v>651</v>
      </c>
      <c r="I479" s="1" t="s">
        <v>691</v>
      </c>
    </row>
    <row r="480" spans="1:9">
      <c r="A480" s="1" t="s">
        <v>1438</v>
      </c>
      <c r="B480" s="1" t="s">
        <v>3576</v>
      </c>
      <c r="C480" s="1" t="s">
        <v>3577</v>
      </c>
      <c r="D480" s="1" t="s">
        <v>3578</v>
      </c>
      <c r="E480" s="1" t="s">
        <v>1439</v>
      </c>
      <c r="F480" s="1" t="s">
        <v>3469</v>
      </c>
      <c r="G480" s="1" t="s">
        <v>837</v>
      </c>
      <c r="H480" s="1" t="s">
        <v>651</v>
      </c>
      <c r="I480" s="1" t="s">
        <v>1440</v>
      </c>
    </row>
    <row r="481" spans="1:9">
      <c r="A481" s="1" t="s">
        <v>1978</v>
      </c>
      <c r="B481" s="1" t="s">
        <v>356</v>
      </c>
      <c r="C481" s="1" t="s">
        <v>1979</v>
      </c>
      <c r="D481" s="1" t="s">
        <v>1980</v>
      </c>
      <c r="E481" s="1" t="s">
        <v>1981</v>
      </c>
      <c r="F481" s="1" t="s">
        <v>3469</v>
      </c>
      <c r="G481" s="1" t="s">
        <v>680</v>
      </c>
      <c r="H481" s="1" t="s">
        <v>651</v>
      </c>
      <c r="I481" s="1" t="s">
        <v>691</v>
      </c>
    </row>
    <row r="482" spans="1:9">
      <c r="A482" s="1" t="s">
        <v>1481</v>
      </c>
      <c r="B482" s="1" t="s">
        <v>220</v>
      </c>
      <c r="C482" s="1" t="s">
        <v>1482</v>
      </c>
      <c r="D482" s="1" t="s">
        <v>711</v>
      </c>
      <c r="E482" s="1" t="s">
        <v>1483</v>
      </c>
      <c r="F482" s="1" t="s">
        <v>3469</v>
      </c>
      <c r="G482" s="1" t="s">
        <v>837</v>
      </c>
      <c r="H482" s="1" t="s">
        <v>651</v>
      </c>
    </row>
    <row r="483" spans="1:9">
      <c r="A483" s="1" t="s">
        <v>2195</v>
      </c>
      <c r="B483" s="1" t="s">
        <v>418</v>
      </c>
      <c r="C483" s="1" t="s">
        <v>2196</v>
      </c>
      <c r="D483" s="1" t="s">
        <v>775</v>
      </c>
      <c r="E483" s="1" t="s">
        <v>2197</v>
      </c>
      <c r="F483" s="1" t="s">
        <v>3469</v>
      </c>
      <c r="G483" s="1" t="s">
        <v>764</v>
      </c>
      <c r="H483" s="1" t="s">
        <v>651</v>
      </c>
      <c r="I483" s="1" t="s">
        <v>652</v>
      </c>
    </row>
    <row r="484" spans="1:9">
      <c r="A484" s="1" t="s">
        <v>1299</v>
      </c>
      <c r="B484" s="1" t="s">
        <v>172</v>
      </c>
      <c r="C484" s="1" t="s">
        <v>1300</v>
      </c>
      <c r="D484" s="1" t="s">
        <v>1301</v>
      </c>
      <c r="E484" s="1" t="s">
        <v>1302</v>
      </c>
      <c r="F484" s="1" t="s">
        <v>3469</v>
      </c>
      <c r="G484" s="1" t="s">
        <v>738</v>
      </c>
      <c r="H484" s="1" t="s">
        <v>651</v>
      </c>
    </row>
    <row r="485" spans="1:9">
      <c r="A485" s="1" t="s">
        <v>1471</v>
      </c>
      <c r="B485" s="1" t="s">
        <v>217</v>
      </c>
      <c r="C485" s="1" t="s">
        <v>1472</v>
      </c>
      <c r="D485" s="1" t="s">
        <v>1473</v>
      </c>
      <c r="E485" s="1" t="s">
        <v>1474</v>
      </c>
      <c r="F485" s="1" t="s">
        <v>3469</v>
      </c>
      <c r="G485" s="1" t="s">
        <v>837</v>
      </c>
      <c r="H485" s="1" t="s">
        <v>651</v>
      </c>
      <c r="I485" s="1" t="s">
        <v>1440</v>
      </c>
    </row>
    <row r="486" spans="1:9">
      <c r="A486" s="1" t="s">
        <v>761</v>
      </c>
      <c r="B486" s="1" t="s">
        <v>3579</v>
      </c>
      <c r="C486" s="1" t="s">
        <v>3580</v>
      </c>
      <c r="D486" s="1" t="s">
        <v>1810</v>
      </c>
      <c r="E486" s="1" t="s">
        <v>763</v>
      </c>
      <c r="F486" s="1" t="s">
        <v>3469</v>
      </c>
      <c r="G486" s="1" t="s">
        <v>764</v>
      </c>
      <c r="H486" s="1" t="s">
        <v>651</v>
      </c>
      <c r="I486" s="1" t="s">
        <v>691</v>
      </c>
    </row>
    <row r="487" spans="1:9">
      <c r="A487" s="1" t="s">
        <v>1724</v>
      </c>
      <c r="B487" s="1" t="s">
        <v>284</v>
      </c>
      <c r="C487" s="1" t="s">
        <v>1725</v>
      </c>
      <c r="D487" s="1" t="s">
        <v>1022</v>
      </c>
      <c r="E487" s="1" t="s">
        <v>1726</v>
      </c>
      <c r="F487" s="1" t="s">
        <v>3469</v>
      </c>
      <c r="G487" s="1" t="s">
        <v>680</v>
      </c>
      <c r="H487" s="1" t="s">
        <v>651</v>
      </c>
    </row>
    <row r="488" spans="1:9">
      <c r="A488" s="1" t="s">
        <v>1242</v>
      </c>
      <c r="B488" s="1" t="s">
        <v>157</v>
      </c>
      <c r="C488" s="1" t="s">
        <v>1243</v>
      </c>
      <c r="D488" s="1" t="s">
        <v>1244</v>
      </c>
      <c r="E488" s="1" t="s">
        <v>1245</v>
      </c>
      <c r="F488" s="1" t="s">
        <v>3469</v>
      </c>
      <c r="G488" s="1" t="s">
        <v>837</v>
      </c>
      <c r="H488" s="1" t="s">
        <v>651</v>
      </c>
      <c r="I488" s="1" t="s">
        <v>691</v>
      </c>
    </row>
    <row r="489" spans="1:9">
      <c r="A489" s="1" t="s">
        <v>2184</v>
      </c>
      <c r="B489" s="1" t="s">
        <v>415</v>
      </c>
      <c r="C489" s="1" t="s">
        <v>2185</v>
      </c>
      <c r="D489" s="1" t="s">
        <v>2186</v>
      </c>
      <c r="E489" s="1" t="s">
        <v>2187</v>
      </c>
      <c r="F489" s="1" t="s">
        <v>3469</v>
      </c>
      <c r="G489" s="1" t="s">
        <v>662</v>
      </c>
      <c r="H489" s="1" t="s">
        <v>651</v>
      </c>
      <c r="I489" s="1" t="s">
        <v>691</v>
      </c>
    </row>
    <row r="490" spans="1:9">
      <c r="A490" s="1" t="s">
        <v>834</v>
      </c>
      <c r="B490" s="1" t="s">
        <v>44</v>
      </c>
      <c r="C490" s="1" t="s">
        <v>669</v>
      </c>
      <c r="D490" s="1" t="s">
        <v>835</v>
      </c>
      <c r="E490" s="1" t="s">
        <v>836</v>
      </c>
      <c r="F490" s="1" t="s">
        <v>3469</v>
      </c>
      <c r="G490" s="1" t="s">
        <v>837</v>
      </c>
      <c r="H490" s="1" t="s">
        <v>651</v>
      </c>
    </row>
    <row r="491" spans="1:9">
      <c r="A491" s="1" t="s">
        <v>2340</v>
      </c>
      <c r="B491" s="1" t="s">
        <v>44</v>
      </c>
      <c r="C491" s="1" t="s">
        <v>669</v>
      </c>
      <c r="D491" s="1" t="s">
        <v>835</v>
      </c>
      <c r="E491" s="1" t="s">
        <v>2341</v>
      </c>
      <c r="F491" s="1" t="s">
        <v>3469</v>
      </c>
      <c r="G491" s="1" t="s">
        <v>837</v>
      </c>
      <c r="H491" s="1" t="s">
        <v>651</v>
      </c>
    </row>
    <row r="492" spans="1:9">
      <c r="A492" s="1" t="s">
        <v>1745</v>
      </c>
      <c r="B492" s="1" t="s">
        <v>290</v>
      </c>
      <c r="C492" s="1" t="s">
        <v>1746</v>
      </c>
      <c r="D492" s="1" t="s">
        <v>655</v>
      </c>
      <c r="E492" s="1" t="s">
        <v>1747</v>
      </c>
      <c r="F492" s="1" t="s">
        <v>3469</v>
      </c>
      <c r="G492" s="1" t="s">
        <v>764</v>
      </c>
      <c r="H492" s="1" t="s">
        <v>651</v>
      </c>
    </row>
    <row r="493" spans="1:9">
      <c r="A493" s="1" t="s">
        <v>709</v>
      </c>
      <c r="B493" s="1" t="s">
        <v>15</v>
      </c>
      <c r="C493" s="1" t="s">
        <v>710</v>
      </c>
      <c r="D493" s="1" t="s">
        <v>711</v>
      </c>
      <c r="E493" s="1" t="s">
        <v>712</v>
      </c>
      <c r="F493" s="1" t="s">
        <v>3469</v>
      </c>
      <c r="G493" s="1" t="s">
        <v>662</v>
      </c>
      <c r="H493" s="1" t="s">
        <v>651</v>
      </c>
      <c r="I493" s="1" t="s">
        <v>691</v>
      </c>
    </row>
    <row r="494" spans="1:9">
      <c r="A494" s="1" t="s">
        <v>2151</v>
      </c>
      <c r="B494" s="1" t="s">
        <v>404</v>
      </c>
      <c r="C494" s="1" t="s">
        <v>2152</v>
      </c>
      <c r="D494" s="1" t="s">
        <v>2153</v>
      </c>
      <c r="E494" s="1" t="s">
        <v>2154</v>
      </c>
      <c r="F494" s="1" t="s">
        <v>3469</v>
      </c>
      <c r="G494" s="1" t="s">
        <v>685</v>
      </c>
      <c r="H494" s="1" t="s">
        <v>651</v>
      </c>
    </row>
    <row r="495" spans="1:9">
      <c r="A495" s="1" t="s">
        <v>1780</v>
      </c>
      <c r="B495" s="1" t="s">
        <v>301</v>
      </c>
      <c r="C495" s="1" t="s">
        <v>1781</v>
      </c>
      <c r="D495" s="1" t="s">
        <v>655</v>
      </c>
      <c r="E495" s="1" t="s">
        <v>1782</v>
      </c>
      <c r="F495" s="1" t="s">
        <v>3469</v>
      </c>
      <c r="G495" s="1" t="s">
        <v>889</v>
      </c>
      <c r="H495" s="1" t="s">
        <v>651</v>
      </c>
      <c r="I495" s="1" t="s">
        <v>691</v>
      </c>
    </row>
    <row r="496" spans="1:9">
      <c r="A496" s="1" t="s">
        <v>2304</v>
      </c>
      <c r="B496" s="1" t="s">
        <v>301</v>
      </c>
      <c r="C496" s="1" t="s">
        <v>1781</v>
      </c>
      <c r="D496" s="1" t="s">
        <v>655</v>
      </c>
      <c r="E496" s="1" t="s">
        <v>2305</v>
      </c>
      <c r="F496" s="1" t="s">
        <v>3469</v>
      </c>
      <c r="G496" s="1" t="s">
        <v>889</v>
      </c>
      <c r="H496" s="1" t="s">
        <v>651</v>
      </c>
      <c r="I496" s="1" t="s">
        <v>691</v>
      </c>
    </row>
    <row r="497" spans="1:9">
      <c r="A497" s="1" t="s">
        <v>1546</v>
      </c>
      <c r="B497" s="1" t="s">
        <v>236</v>
      </c>
      <c r="C497" s="1" t="s">
        <v>1547</v>
      </c>
      <c r="D497" s="1" t="s">
        <v>792</v>
      </c>
      <c r="E497" s="1" t="s">
        <v>1548</v>
      </c>
      <c r="F497" s="1" t="s">
        <v>3469</v>
      </c>
      <c r="G497" s="1" t="s">
        <v>738</v>
      </c>
      <c r="H497" s="1" t="s">
        <v>651</v>
      </c>
    </row>
    <row r="498" spans="1:9">
      <c r="A498" s="1" t="s">
        <v>1894</v>
      </c>
      <c r="B498" s="1" t="s">
        <v>236</v>
      </c>
      <c r="C498" s="1" t="s">
        <v>1547</v>
      </c>
      <c r="D498" s="1" t="s">
        <v>792</v>
      </c>
      <c r="E498" s="1" t="s">
        <v>1895</v>
      </c>
      <c r="F498" s="1" t="s">
        <v>3469</v>
      </c>
      <c r="G498" s="1" t="s">
        <v>738</v>
      </c>
      <c r="H498" s="1" t="s">
        <v>651</v>
      </c>
    </row>
    <row r="499" spans="1:9">
      <c r="A499" s="1" t="s">
        <v>2221</v>
      </c>
      <c r="B499" s="1" t="s">
        <v>425</v>
      </c>
      <c r="C499" s="1" t="s">
        <v>2222</v>
      </c>
      <c r="D499" s="1" t="s">
        <v>895</v>
      </c>
      <c r="E499" s="1" t="s">
        <v>2223</v>
      </c>
      <c r="F499" s="1" t="s">
        <v>3469</v>
      </c>
      <c r="G499" s="1" t="s">
        <v>764</v>
      </c>
      <c r="H499" s="1" t="s">
        <v>651</v>
      </c>
      <c r="I499" s="1" t="s">
        <v>691</v>
      </c>
    </row>
    <row r="500" spans="1:9">
      <c r="A500" s="1" t="s">
        <v>1887</v>
      </c>
      <c r="B500" s="1" t="s">
        <v>331</v>
      </c>
      <c r="C500" s="1" t="s">
        <v>1888</v>
      </c>
      <c r="D500" s="1" t="s">
        <v>792</v>
      </c>
      <c r="E500" s="1" t="s">
        <v>1889</v>
      </c>
      <c r="F500" s="1" t="s">
        <v>3469</v>
      </c>
      <c r="G500" s="1" t="s">
        <v>680</v>
      </c>
      <c r="H500" s="1" t="s">
        <v>651</v>
      </c>
    </row>
    <row r="501" spans="1:9">
      <c r="A501" s="1" t="s">
        <v>2034</v>
      </c>
      <c r="B501" s="1" t="s">
        <v>331</v>
      </c>
      <c r="C501" s="1" t="s">
        <v>1888</v>
      </c>
      <c r="D501" s="1" t="s">
        <v>792</v>
      </c>
      <c r="E501" s="1" t="s">
        <v>2035</v>
      </c>
      <c r="F501" s="1" t="s">
        <v>3469</v>
      </c>
      <c r="G501" s="1" t="s">
        <v>680</v>
      </c>
      <c r="H501" s="1" t="s">
        <v>651</v>
      </c>
    </row>
    <row r="502" spans="1:9">
      <c r="A502" s="1" t="s">
        <v>1449</v>
      </c>
      <c r="B502" s="1" t="s">
        <v>213</v>
      </c>
      <c r="C502" s="1" t="s">
        <v>1450</v>
      </c>
      <c r="D502" s="1" t="s">
        <v>792</v>
      </c>
      <c r="E502" s="1" t="s">
        <v>1451</v>
      </c>
      <c r="F502" s="1" t="s">
        <v>3469</v>
      </c>
      <c r="G502" s="1" t="s">
        <v>1074</v>
      </c>
      <c r="H502" s="1" t="s">
        <v>651</v>
      </c>
      <c r="I502" s="1" t="s">
        <v>1440</v>
      </c>
    </row>
    <row r="503" spans="1:9">
      <c r="A503" s="1" t="s">
        <v>1671</v>
      </c>
      <c r="B503" s="1" t="s">
        <v>270</v>
      </c>
      <c r="C503" s="1" t="s">
        <v>1672</v>
      </c>
      <c r="D503" s="1" t="s">
        <v>1488</v>
      </c>
      <c r="E503" s="1" t="s">
        <v>1673</v>
      </c>
      <c r="F503" s="1" t="s">
        <v>3469</v>
      </c>
      <c r="G503" s="1" t="s">
        <v>1074</v>
      </c>
      <c r="H503" s="1" t="s">
        <v>651</v>
      </c>
    </row>
    <row r="504" spans="1:9">
      <c r="A504" s="1" t="s">
        <v>1783</v>
      </c>
      <c r="B504" s="1" t="s">
        <v>302</v>
      </c>
      <c r="C504" s="1" t="s">
        <v>1784</v>
      </c>
      <c r="D504" s="1" t="s">
        <v>1080</v>
      </c>
      <c r="E504" s="1" t="s">
        <v>1785</v>
      </c>
      <c r="F504" s="1" t="s">
        <v>3469</v>
      </c>
      <c r="G504" s="1" t="s">
        <v>680</v>
      </c>
      <c r="H504" s="1" t="s">
        <v>651</v>
      </c>
      <c r="I504" s="1" t="s">
        <v>691</v>
      </c>
    </row>
    <row r="505" spans="1:9">
      <c r="A505" s="1" t="s">
        <v>1103</v>
      </c>
      <c r="B505" s="1" t="s">
        <v>117</v>
      </c>
      <c r="C505" s="1" t="s">
        <v>1104</v>
      </c>
      <c r="D505" s="1" t="s">
        <v>1105</v>
      </c>
      <c r="E505" s="1" t="s">
        <v>1106</v>
      </c>
      <c r="F505" s="1" t="s">
        <v>3469</v>
      </c>
      <c r="G505" s="1" t="s">
        <v>667</v>
      </c>
      <c r="H505" s="1" t="s">
        <v>651</v>
      </c>
      <c r="I505" s="1" t="s">
        <v>652</v>
      </c>
    </row>
    <row r="506" spans="1:9">
      <c r="A506" s="1" t="s">
        <v>2593</v>
      </c>
      <c r="B506" s="1" t="s">
        <v>524</v>
      </c>
      <c r="C506" s="1" t="s">
        <v>2594</v>
      </c>
      <c r="D506" s="1" t="s">
        <v>2595</v>
      </c>
      <c r="E506" s="1" t="s">
        <v>2596</v>
      </c>
      <c r="F506" s="1" t="s">
        <v>3581</v>
      </c>
      <c r="G506" s="1" t="s">
        <v>2568</v>
      </c>
      <c r="H506" s="1" t="s">
        <v>651</v>
      </c>
      <c r="I506" s="1" t="s">
        <v>691</v>
      </c>
    </row>
    <row r="507" spans="1:9">
      <c r="A507" s="1" t="s">
        <v>2750</v>
      </c>
      <c r="B507" s="1" t="s">
        <v>565</v>
      </c>
      <c r="C507" s="1" t="s">
        <v>2751</v>
      </c>
      <c r="D507" s="1" t="s">
        <v>2472</v>
      </c>
      <c r="E507" s="1" t="s">
        <v>2752</v>
      </c>
      <c r="F507" s="1" t="s">
        <v>3469</v>
      </c>
      <c r="G507" s="1" t="s">
        <v>2740</v>
      </c>
      <c r="H507" s="1" t="s">
        <v>651</v>
      </c>
    </row>
    <row r="508" spans="1:9">
      <c r="A508" s="1" t="s">
        <v>2781</v>
      </c>
      <c r="B508" s="1" t="s">
        <v>573</v>
      </c>
      <c r="C508" s="1" t="s">
        <v>2782</v>
      </c>
      <c r="D508" s="1" t="s">
        <v>2783</v>
      </c>
      <c r="E508" s="1" t="s">
        <v>2784</v>
      </c>
      <c r="F508" s="1" t="s">
        <v>3582</v>
      </c>
      <c r="G508" s="1" t="s">
        <v>2740</v>
      </c>
      <c r="H508" s="1" t="s">
        <v>651</v>
      </c>
      <c r="I508" s="1" t="s">
        <v>2785</v>
      </c>
    </row>
    <row r="509" spans="1:9">
      <c r="A509" s="1" t="s">
        <v>1424</v>
      </c>
      <c r="B509" s="1" t="s">
        <v>207</v>
      </c>
      <c r="C509" s="1" t="s">
        <v>880</v>
      </c>
      <c r="D509" s="1" t="s">
        <v>1062</v>
      </c>
      <c r="E509" s="1" t="s">
        <v>1425</v>
      </c>
      <c r="F509" s="1" t="s">
        <v>3469</v>
      </c>
      <c r="G509" s="1" t="s">
        <v>738</v>
      </c>
      <c r="H509" s="1" t="s">
        <v>651</v>
      </c>
    </row>
    <row r="510" spans="1:9">
      <c r="A510" s="1" t="s">
        <v>1748</v>
      </c>
      <c r="B510" s="1" t="s">
        <v>291</v>
      </c>
      <c r="C510" s="1" t="s">
        <v>1749</v>
      </c>
      <c r="D510" s="1" t="s">
        <v>719</v>
      </c>
      <c r="E510" s="1" t="s">
        <v>1750</v>
      </c>
      <c r="F510" s="1" t="s">
        <v>3469</v>
      </c>
      <c r="G510" s="1" t="s">
        <v>764</v>
      </c>
      <c r="H510" s="1" t="s">
        <v>651</v>
      </c>
      <c r="I510" s="1" t="s">
        <v>691</v>
      </c>
    </row>
    <row r="511" spans="1:9">
      <c r="A511" s="1" t="s">
        <v>879</v>
      </c>
      <c r="B511" s="1" t="s">
        <v>56</v>
      </c>
      <c r="C511" s="1" t="s">
        <v>880</v>
      </c>
      <c r="D511" s="1" t="s">
        <v>792</v>
      </c>
      <c r="E511" s="1" t="s">
        <v>881</v>
      </c>
      <c r="F511" s="1" t="s">
        <v>3469</v>
      </c>
      <c r="G511" s="1" t="s">
        <v>657</v>
      </c>
      <c r="H511" s="1" t="s">
        <v>651</v>
      </c>
    </row>
    <row r="512" spans="1:9">
      <c r="A512" s="1" t="s">
        <v>2644</v>
      </c>
      <c r="B512" s="1" t="s">
        <v>538</v>
      </c>
      <c r="C512" s="1" t="s">
        <v>2645</v>
      </c>
      <c r="D512" s="1" t="s">
        <v>991</v>
      </c>
      <c r="E512" s="1" t="s">
        <v>2646</v>
      </c>
      <c r="F512" s="1" t="s">
        <v>3473</v>
      </c>
      <c r="G512" s="1" t="s">
        <v>2568</v>
      </c>
      <c r="H512" s="1" t="s">
        <v>651</v>
      </c>
      <c r="I512" s="1" t="s">
        <v>691</v>
      </c>
    </row>
    <row r="513" spans="1:9">
      <c r="A513" s="1" t="s">
        <v>2650</v>
      </c>
      <c r="B513" s="1" t="s">
        <v>540</v>
      </c>
      <c r="C513" s="1" t="s">
        <v>2651</v>
      </c>
      <c r="D513" s="1" t="s">
        <v>2652</v>
      </c>
      <c r="E513" s="1" t="s">
        <v>2653</v>
      </c>
      <c r="F513" s="1" t="s">
        <v>3583</v>
      </c>
      <c r="G513" s="1" t="s">
        <v>2568</v>
      </c>
      <c r="H513" s="1" t="s">
        <v>651</v>
      </c>
      <c r="I513" s="1" t="s">
        <v>2458</v>
      </c>
    </row>
    <row r="514" spans="1:9">
      <c r="A514" s="1" t="s">
        <v>2050</v>
      </c>
      <c r="B514" s="1" t="s">
        <v>375</v>
      </c>
      <c r="C514" s="1" t="s">
        <v>2051</v>
      </c>
      <c r="D514" s="1" t="s">
        <v>2052</v>
      </c>
      <c r="E514" s="1" t="s">
        <v>2053</v>
      </c>
      <c r="F514" s="1" t="s">
        <v>3469</v>
      </c>
      <c r="G514" s="1" t="s">
        <v>667</v>
      </c>
      <c r="H514" s="1" t="s">
        <v>651</v>
      </c>
    </row>
    <row r="515" spans="1:9">
      <c r="A515" s="1" t="s">
        <v>2970</v>
      </c>
      <c r="B515" s="1" t="s">
        <v>622</v>
      </c>
      <c r="C515" s="1" t="s">
        <v>2971</v>
      </c>
      <c r="D515" s="1" t="s">
        <v>2281</v>
      </c>
      <c r="E515" s="1" t="s">
        <v>2972</v>
      </c>
      <c r="F515" s="1" t="s">
        <v>3584</v>
      </c>
      <c r="G515" s="1" t="s">
        <v>2740</v>
      </c>
      <c r="H515" s="1" t="s">
        <v>651</v>
      </c>
    </row>
    <row r="516" spans="1:9">
      <c r="A516" s="1" t="s">
        <v>2474</v>
      </c>
      <c r="B516" s="1" t="s">
        <v>491</v>
      </c>
      <c r="C516" s="1" t="s">
        <v>2475</v>
      </c>
      <c r="D516" s="1" t="s">
        <v>2476</v>
      </c>
      <c r="E516" s="1" t="s">
        <v>2477</v>
      </c>
      <c r="F516" s="1" t="s">
        <v>3541</v>
      </c>
      <c r="G516" s="1" t="s">
        <v>2436</v>
      </c>
      <c r="H516" s="1" t="s">
        <v>651</v>
      </c>
      <c r="I516" s="1" t="s">
        <v>691</v>
      </c>
    </row>
    <row r="517" spans="1:9">
      <c r="A517" s="1" t="s">
        <v>2775</v>
      </c>
      <c r="B517" s="1" t="s">
        <v>3585</v>
      </c>
      <c r="C517" s="1" t="s">
        <v>3586</v>
      </c>
      <c r="D517" s="1" t="s">
        <v>3587</v>
      </c>
      <c r="E517" s="1" t="s">
        <v>2776</v>
      </c>
      <c r="F517" s="1" t="s">
        <v>3482</v>
      </c>
      <c r="G517" s="1" t="s">
        <v>2740</v>
      </c>
      <c r="H517" s="1" t="s">
        <v>651</v>
      </c>
      <c r="I517" s="1" t="s">
        <v>691</v>
      </c>
    </row>
    <row r="518" spans="1:9">
      <c r="A518" s="1" t="s">
        <v>2910</v>
      </c>
      <c r="B518" s="1" t="s">
        <v>607</v>
      </c>
      <c r="C518" s="1" t="s">
        <v>2911</v>
      </c>
      <c r="D518" s="1" t="s">
        <v>2912</v>
      </c>
      <c r="E518" s="1" t="s">
        <v>2913</v>
      </c>
      <c r="F518" s="1" t="s">
        <v>3474</v>
      </c>
      <c r="G518" s="1" t="s">
        <v>2914</v>
      </c>
      <c r="H518" s="1" t="s">
        <v>651</v>
      </c>
      <c r="I518" s="1" t="s">
        <v>691</v>
      </c>
    </row>
    <row r="519" spans="1:9">
      <c r="A519" s="1" t="s">
        <v>871</v>
      </c>
      <c r="B519" s="1" t="s">
        <v>54</v>
      </c>
      <c r="C519" s="1" t="s">
        <v>872</v>
      </c>
      <c r="D519" s="1" t="s">
        <v>694</v>
      </c>
      <c r="E519" s="1" t="s">
        <v>873</v>
      </c>
      <c r="F519" s="1" t="s">
        <v>3469</v>
      </c>
      <c r="G519" s="1" t="s">
        <v>874</v>
      </c>
      <c r="H519" s="1" t="s">
        <v>651</v>
      </c>
    </row>
    <row r="520" spans="1:9">
      <c r="A520" s="1" t="s">
        <v>1797</v>
      </c>
      <c r="B520" s="1" t="s">
        <v>306</v>
      </c>
      <c r="C520" s="1" t="s">
        <v>1798</v>
      </c>
      <c r="D520" s="1" t="s">
        <v>1799</v>
      </c>
      <c r="E520" s="1" t="s">
        <v>1800</v>
      </c>
      <c r="F520" s="1" t="s">
        <v>3469</v>
      </c>
      <c r="G520" s="1" t="s">
        <v>662</v>
      </c>
      <c r="H520" s="1" t="s">
        <v>651</v>
      </c>
    </row>
    <row r="521" spans="1:9">
      <c r="A521" s="1" t="s">
        <v>893</v>
      </c>
      <c r="B521" s="1" t="s">
        <v>60</v>
      </c>
      <c r="C521" s="1" t="s">
        <v>894</v>
      </c>
      <c r="D521" s="1" t="s">
        <v>895</v>
      </c>
      <c r="E521" s="1" t="s">
        <v>896</v>
      </c>
      <c r="F521" s="1" t="s">
        <v>3469</v>
      </c>
      <c r="G521" s="1" t="s">
        <v>777</v>
      </c>
      <c r="H521" s="1" t="s">
        <v>651</v>
      </c>
    </row>
    <row r="522" spans="1:9">
      <c r="A522" s="1" t="s">
        <v>1219</v>
      </c>
      <c r="B522" s="1" t="s">
        <v>60</v>
      </c>
      <c r="C522" s="1" t="s">
        <v>894</v>
      </c>
      <c r="D522" s="1" t="s">
        <v>895</v>
      </c>
      <c r="E522" s="1" t="s">
        <v>1220</v>
      </c>
      <c r="F522" s="1" t="s">
        <v>3469</v>
      </c>
      <c r="G522" s="1" t="s">
        <v>777</v>
      </c>
      <c r="H522" s="1" t="s">
        <v>651</v>
      </c>
    </row>
    <row r="523" spans="1:9">
      <c r="A523" s="1" t="s">
        <v>2846</v>
      </c>
      <c r="B523" s="1" t="s">
        <v>591</v>
      </c>
      <c r="C523" s="1" t="s">
        <v>2847</v>
      </c>
      <c r="D523" s="1" t="s">
        <v>2848</v>
      </c>
      <c r="E523" s="1" t="s">
        <v>2849</v>
      </c>
      <c r="F523" s="1" t="s">
        <v>3469</v>
      </c>
      <c r="G523" s="1" t="s">
        <v>2488</v>
      </c>
      <c r="H523" s="1" t="s">
        <v>651</v>
      </c>
    </row>
    <row r="524" spans="1:9">
      <c r="A524" s="1" t="s">
        <v>1556</v>
      </c>
      <c r="B524" s="1" t="s">
        <v>239</v>
      </c>
      <c r="C524" s="1" t="s">
        <v>1557</v>
      </c>
      <c r="D524" s="1" t="s">
        <v>745</v>
      </c>
      <c r="E524" s="1" t="s">
        <v>1558</v>
      </c>
      <c r="F524" s="1" t="s">
        <v>3469</v>
      </c>
      <c r="G524" s="1" t="s">
        <v>764</v>
      </c>
      <c r="H524" s="1" t="s">
        <v>651</v>
      </c>
      <c r="I524" s="1" t="s">
        <v>1555</v>
      </c>
    </row>
    <row r="525" spans="1:9">
      <c r="A525" s="1" t="s">
        <v>1912</v>
      </c>
      <c r="B525" s="1" t="s">
        <v>337</v>
      </c>
      <c r="C525" s="1" t="s">
        <v>1913</v>
      </c>
      <c r="D525" s="1" t="s">
        <v>1463</v>
      </c>
      <c r="E525" s="1" t="s">
        <v>1914</v>
      </c>
      <c r="F525" s="1" t="s">
        <v>3469</v>
      </c>
      <c r="G525" s="1" t="s">
        <v>650</v>
      </c>
      <c r="H525" s="1" t="s">
        <v>651</v>
      </c>
    </row>
    <row r="526" spans="1:9">
      <c r="A526" s="1" t="s">
        <v>2004</v>
      </c>
      <c r="B526" s="1" t="s">
        <v>362</v>
      </c>
      <c r="C526" s="1" t="s">
        <v>2005</v>
      </c>
      <c r="D526" s="1" t="s">
        <v>2006</v>
      </c>
      <c r="E526" s="1" t="s">
        <v>2007</v>
      </c>
      <c r="F526" s="1" t="s">
        <v>3469</v>
      </c>
      <c r="G526" s="1" t="s">
        <v>802</v>
      </c>
      <c r="H526" s="1" t="s">
        <v>651</v>
      </c>
      <c r="I526" s="1" t="s">
        <v>691</v>
      </c>
    </row>
    <row r="527" spans="1:9">
      <c r="A527" s="1" t="s">
        <v>1858</v>
      </c>
      <c r="B527" s="1" t="s">
        <v>323</v>
      </c>
      <c r="C527" s="1" t="s">
        <v>1859</v>
      </c>
      <c r="D527" s="1" t="s">
        <v>968</v>
      </c>
      <c r="E527" s="1" t="s">
        <v>1860</v>
      </c>
      <c r="F527" s="1" t="s">
        <v>3469</v>
      </c>
      <c r="G527" s="1" t="s">
        <v>650</v>
      </c>
      <c r="H527" s="1" t="s">
        <v>651</v>
      </c>
    </row>
    <row r="528" spans="1:9">
      <c r="A528" s="1" t="s">
        <v>2356</v>
      </c>
      <c r="B528" s="1" t="s">
        <v>457</v>
      </c>
      <c r="C528" s="1" t="s">
        <v>2357</v>
      </c>
      <c r="D528" s="1" t="s">
        <v>792</v>
      </c>
      <c r="E528" s="1" t="s">
        <v>2358</v>
      </c>
      <c r="F528" s="1" t="s">
        <v>3469</v>
      </c>
      <c r="G528" s="1" t="s">
        <v>657</v>
      </c>
      <c r="H528" s="1" t="s">
        <v>651</v>
      </c>
      <c r="I528" s="1" t="s">
        <v>691</v>
      </c>
    </row>
    <row r="529" spans="1:9">
      <c r="A529" s="1" t="s">
        <v>2383</v>
      </c>
      <c r="B529" s="1" t="s">
        <v>465</v>
      </c>
      <c r="C529" s="1" t="s">
        <v>2384</v>
      </c>
      <c r="D529" s="1" t="s">
        <v>953</v>
      </c>
      <c r="E529" s="1" t="s">
        <v>2385</v>
      </c>
      <c r="F529" s="1" t="s">
        <v>3469</v>
      </c>
      <c r="G529" s="1" t="s">
        <v>657</v>
      </c>
      <c r="H529" s="1" t="s">
        <v>651</v>
      </c>
    </row>
    <row r="530" spans="1:9">
      <c r="A530" s="1" t="s">
        <v>1484</v>
      </c>
      <c r="B530" s="1" t="s">
        <v>221</v>
      </c>
      <c r="C530" s="1" t="s">
        <v>669</v>
      </c>
      <c r="D530" s="1" t="s">
        <v>1356</v>
      </c>
      <c r="E530" s="1" t="s">
        <v>1485</v>
      </c>
      <c r="F530" s="1" t="s">
        <v>3469</v>
      </c>
      <c r="G530" s="1" t="s">
        <v>764</v>
      </c>
      <c r="H530" s="1" t="s">
        <v>651</v>
      </c>
    </row>
    <row r="531" spans="1:9">
      <c r="A531" s="1" t="s">
        <v>1730</v>
      </c>
      <c r="B531" s="1" t="s">
        <v>286</v>
      </c>
      <c r="C531" s="1" t="s">
        <v>1731</v>
      </c>
      <c r="D531" s="1" t="s">
        <v>1488</v>
      </c>
      <c r="E531" s="1" t="s">
        <v>1732</v>
      </c>
      <c r="F531" s="1" t="s">
        <v>3469</v>
      </c>
      <c r="G531" s="1" t="s">
        <v>802</v>
      </c>
      <c r="H531" s="1" t="s">
        <v>651</v>
      </c>
    </row>
    <row r="532" spans="1:9">
      <c r="A532" s="1" t="s">
        <v>1875</v>
      </c>
      <c r="B532" s="1" t="s">
        <v>328</v>
      </c>
      <c r="C532" s="1" t="s">
        <v>1876</v>
      </c>
      <c r="D532" s="1" t="s">
        <v>1877</v>
      </c>
      <c r="E532" s="1" t="s">
        <v>1878</v>
      </c>
      <c r="F532" s="1" t="s">
        <v>3469</v>
      </c>
      <c r="G532" s="1" t="s">
        <v>662</v>
      </c>
      <c r="H532" s="1" t="s">
        <v>651</v>
      </c>
    </row>
    <row r="533" spans="1:9">
      <c r="A533" s="1" t="s">
        <v>1174</v>
      </c>
      <c r="B533" s="1" t="s">
        <v>138</v>
      </c>
      <c r="C533" s="1" t="s">
        <v>1175</v>
      </c>
      <c r="D533" s="1" t="s">
        <v>1176</v>
      </c>
      <c r="E533" s="1" t="s">
        <v>1177</v>
      </c>
      <c r="F533" s="1" t="s">
        <v>3469</v>
      </c>
      <c r="G533" s="1" t="s">
        <v>817</v>
      </c>
      <c r="H533" s="1" t="s">
        <v>651</v>
      </c>
    </row>
    <row r="534" spans="1:9">
      <c r="A534" s="1" t="s">
        <v>830</v>
      </c>
      <c r="B534" s="1" t="s">
        <v>43</v>
      </c>
      <c r="C534" s="1" t="s">
        <v>831</v>
      </c>
      <c r="D534" s="1" t="s">
        <v>832</v>
      </c>
      <c r="E534" s="1" t="s">
        <v>833</v>
      </c>
      <c r="F534" s="1" t="s">
        <v>3469</v>
      </c>
      <c r="G534" s="1" t="s">
        <v>777</v>
      </c>
      <c r="H534" s="1" t="s">
        <v>651</v>
      </c>
    </row>
    <row r="535" spans="1:9">
      <c r="A535" s="1" t="s">
        <v>1743</v>
      </c>
      <c r="B535" s="1" t="s">
        <v>289</v>
      </c>
      <c r="C535" s="1" t="s">
        <v>669</v>
      </c>
      <c r="E535" s="1" t="s">
        <v>1744</v>
      </c>
      <c r="F535" s="1" t="s">
        <v>3469</v>
      </c>
      <c r="H535" s="1" t="s">
        <v>651</v>
      </c>
    </row>
    <row r="536" spans="1:9">
      <c r="A536" s="1" t="s">
        <v>856</v>
      </c>
      <c r="B536" s="1" t="s">
        <v>50</v>
      </c>
      <c r="C536" s="1" t="s">
        <v>857</v>
      </c>
      <c r="D536" s="1" t="s">
        <v>858</v>
      </c>
      <c r="E536" s="1" t="s">
        <v>859</v>
      </c>
      <c r="F536" s="1" t="s">
        <v>3469</v>
      </c>
      <c r="G536" s="1" t="s">
        <v>764</v>
      </c>
      <c r="H536" s="1" t="s">
        <v>651</v>
      </c>
    </row>
    <row r="537" spans="1:9">
      <c r="A537" s="1" t="s">
        <v>1478</v>
      </c>
      <c r="B537" s="1" t="s">
        <v>219</v>
      </c>
      <c r="C537" s="1" t="s">
        <v>1479</v>
      </c>
      <c r="D537" s="1" t="s">
        <v>792</v>
      </c>
      <c r="E537" s="1" t="s">
        <v>1480</v>
      </c>
      <c r="F537" s="1" t="s">
        <v>3469</v>
      </c>
      <c r="G537" s="1" t="s">
        <v>685</v>
      </c>
      <c r="H537" s="1" t="s">
        <v>651</v>
      </c>
    </row>
    <row r="538" spans="1:9">
      <c r="A538" s="1" t="s">
        <v>2224</v>
      </c>
      <c r="B538" s="1" t="s">
        <v>426</v>
      </c>
      <c r="C538" s="1" t="s">
        <v>2225</v>
      </c>
      <c r="D538" s="1" t="s">
        <v>2226</v>
      </c>
      <c r="E538" s="1" t="s">
        <v>2227</v>
      </c>
      <c r="F538" s="1" t="s">
        <v>3469</v>
      </c>
      <c r="G538" s="1" t="s">
        <v>662</v>
      </c>
      <c r="H538" s="1" t="s">
        <v>651</v>
      </c>
      <c r="I538" s="1" t="s">
        <v>691</v>
      </c>
    </row>
    <row r="539" spans="1:9">
      <c r="A539" s="1" t="s">
        <v>1816</v>
      </c>
      <c r="B539" s="1" t="s">
        <v>311</v>
      </c>
      <c r="C539" s="1" t="s">
        <v>1817</v>
      </c>
      <c r="D539" s="1" t="s">
        <v>1818</v>
      </c>
      <c r="E539" s="1" t="s">
        <v>1819</v>
      </c>
      <c r="F539" s="1" t="s">
        <v>3469</v>
      </c>
      <c r="G539" s="1" t="s">
        <v>764</v>
      </c>
      <c r="H539" s="1" t="s">
        <v>651</v>
      </c>
      <c r="I539" s="1" t="s">
        <v>691</v>
      </c>
    </row>
    <row r="540" spans="1:9">
      <c r="A540" s="1" t="s">
        <v>1871</v>
      </c>
      <c r="B540" s="1" t="s">
        <v>327</v>
      </c>
      <c r="C540" s="1" t="s">
        <v>1872</v>
      </c>
      <c r="D540" s="1" t="s">
        <v>1873</v>
      </c>
      <c r="E540" s="1" t="s">
        <v>1874</v>
      </c>
      <c r="F540" s="1" t="s">
        <v>3469</v>
      </c>
      <c r="G540" s="1" t="s">
        <v>680</v>
      </c>
      <c r="H540" s="1" t="s">
        <v>651</v>
      </c>
    </row>
    <row r="541" spans="1:9">
      <c r="A541" s="1" t="s">
        <v>1995</v>
      </c>
      <c r="B541" s="1" t="s">
        <v>360</v>
      </c>
      <c r="C541" s="1" t="s">
        <v>1996</v>
      </c>
      <c r="D541" s="1" t="s">
        <v>1997</v>
      </c>
      <c r="E541" s="1" t="s">
        <v>1998</v>
      </c>
      <c r="F541" s="1" t="s">
        <v>3469</v>
      </c>
      <c r="G541" s="1" t="s">
        <v>680</v>
      </c>
      <c r="H541" s="1" t="s">
        <v>651</v>
      </c>
    </row>
    <row r="542" spans="1:9">
      <c r="A542" s="1" t="s">
        <v>2207</v>
      </c>
      <c r="B542" s="1" t="s">
        <v>421</v>
      </c>
      <c r="C542" s="1" t="s">
        <v>2208</v>
      </c>
      <c r="D542" s="1" t="s">
        <v>771</v>
      </c>
      <c r="E542" s="1" t="s">
        <v>2209</v>
      </c>
      <c r="F542" s="1" t="s">
        <v>3469</v>
      </c>
      <c r="G542" s="1" t="s">
        <v>764</v>
      </c>
      <c r="H542" s="1" t="s">
        <v>651</v>
      </c>
      <c r="I542" s="1" t="s">
        <v>691</v>
      </c>
    </row>
    <row r="543" spans="1:9">
      <c r="A543" s="1" t="s">
        <v>1829</v>
      </c>
      <c r="B543" s="1" t="s">
        <v>315</v>
      </c>
      <c r="C543" s="1" t="s">
        <v>1830</v>
      </c>
      <c r="D543" s="1" t="s">
        <v>1831</v>
      </c>
      <c r="E543" s="1" t="s">
        <v>1832</v>
      </c>
      <c r="F543" s="1" t="s">
        <v>3469</v>
      </c>
      <c r="G543" s="1" t="s">
        <v>837</v>
      </c>
      <c r="H543" s="1" t="s">
        <v>651</v>
      </c>
      <c r="I543" s="1" t="s">
        <v>691</v>
      </c>
    </row>
    <row r="544" spans="1:9">
      <c r="A544" s="1" t="s">
        <v>1428</v>
      </c>
      <c r="B544" s="1" t="s">
        <v>208</v>
      </c>
      <c r="C544" s="1" t="s">
        <v>1429</v>
      </c>
      <c r="D544" s="1" t="s">
        <v>736</v>
      </c>
      <c r="E544" s="1" t="s">
        <v>1430</v>
      </c>
      <c r="F544" s="1" t="s">
        <v>3469</v>
      </c>
      <c r="G544" s="1" t="s">
        <v>738</v>
      </c>
      <c r="H544" s="1" t="s">
        <v>651</v>
      </c>
    </row>
    <row r="545" spans="1:9">
      <c r="A545" s="1" t="s">
        <v>875</v>
      </c>
      <c r="B545" s="1" t="s">
        <v>55</v>
      </c>
      <c r="C545" s="1" t="s">
        <v>876</v>
      </c>
      <c r="D545" s="1" t="s">
        <v>877</v>
      </c>
      <c r="E545" s="1" t="s">
        <v>878</v>
      </c>
      <c r="F545" s="1" t="s">
        <v>3469</v>
      </c>
      <c r="G545" s="1" t="s">
        <v>738</v>
      </c>
      <c r="H545" s="1" t="s">
        <v>651</v>
      </c>
    </row>
    <row r="546" spans="1:9">
      <c r="A546" s="1" t="s">
        <v>1711</v>
      </c>
      <c r="B546" s="1" t="s">
        <v>281</v>
      </c>
      <c r="C546" s="1" t="s">
        <v>1712</v>
      </c>
      <c r="D546" s="1" t="s">
        <v>1362</v>
      </c>
      <c r="E546" s="1" t="s">
        <v>1713</v>
      </c>
      <c r="F546" s="1" t="s">
        <v>3469</v>
      </c>
      <c r="G546" s="1" t="s">
        <v>738</v>
      </c>
      <c r="H546" s="1" t="s">
        <v>651</v>
      </c>
    </row>
    <row r="547" spans="1:9">
      <c r="A547" s="1" t="s">
        <v>1820</v>
      </c>
      <c r="B547" s="1" t="s">
        <v>312</v>
      </c>
      <c r="C547" s="1" t="s">
        <v>1821</v>
      </c>
      <c r="D547" s="1" t="s">
        <v>1294</v>
      </c>
      <c r="E547" s="1" t="s">
        <v>1822</v>
      </c>
      <c r="F547" s="1" t="s">
        <v>3469</v>
      </c>
      <c r="G547" s="1" t="s">
        <v>764</v>
      </c>
      <c r="H547" s="1" t="s">
        <v>651</v>
      </c>
    </row>
    <row r="548" spans="1:9">
      <c r="A548" s="1" t="s">
        <v>1653</v>
      </c>
      <c r="B548" s="1" t="s">
        <v>264</v>
      </c>
      <c r="C548" s="1" t="s">
        <v>1654</v>
      </c>
      <c r="D548" s="1" t="s">
        <v>918</v>
      </c>
      <c r="E548" s="1" t="s">
        <v>1655</v>
      </c>
      <c r="F548" s="1" t="s">
        <v>3469</v>
      </c>
      <c r="G548" s="1" t="s">
        <v>837</v>
      </c>
      <c r="H548" s="1" t="s">
        <v>651</v>
      </c>
    </row>
    <row r="549" spans="1:9">
      <c r="A549" s="1" t="s">
        <v>2210</v>
      </c>
      <c r="B549" s="1" t="s">
        <v>422</v>
      </c>
      <c r="C549" s="1" t="s">
        <v>2211</v>
      </c>
      <c r="D549" s="1" t="s">
        <v>762</v>
      </c>
      <c r="E549" s="1" t="s">
        <v>2212</v>
      </c>
      <c r="F549" s="1" t="s">
        <v>3469</v>
      </c>
      <c r="G549" s="1" t="s">
        <v>662</v>
      </c>
      <c r="H549" s="1" t="s">
        <v>651</v>
      </c>
      <c r="I549" s="1" t="s">
        <v>691</v>
      </c>
    </row>
    <row r="550" spans="1:9">
      <c r="A550" s="1" t="s">
        <v>725</v>
      </c>
      <c r="B550" s="1" t="s">
        <v>19</v>
      </c>
      <c r="C550" s="1" t="s">
        <v>726</v>
      </c>
      <c r="D550" s="1" t="s">
        <v>727</v>
      </c>
      <c r="E550" s="1" t="s">
        <v>728</v>
      </c>
      <c r="F550" s="1" t="s">
        <v>3469</v>
      </c>
      <c r="G550" s="1" t="s">
        <v>729</v>
      </c>
      <c r="H550" s="1" t="s">
        <v>651</v>
      </c>
    </row>
    <row r="551" spans="1:9">
      <c r="A551" s="1" t="s">
        <v>1928</v>
      </c>
      <c r="B551" s="1" t="s">
        <v>342</v>
      </c>
      <c r="C551" s="1" t="s">
        <v>1929</v>
      </c>
      <c r="D551" s="1" t="s">
        <v>792</v>
      </c>
      <c r="E551" s="1" t="s">
        <v>1930</v>
      </c>
      <c r="F551" s="1" t="s">
        <v>3469</v>
      </c>
      <c r="G551" s="1" t="s">
        <v>764</v>
      </c>
      <c r="H551" s="1" t="s">
        <v>651</v>
      </c>
      <c r="I551" s="1" t="s">
        <v>691</v>
      </c>
    </row>
    <row r="552" spans="1:9">
      <c r="A552" s="1" t="s">
        <v>1951</v>
      </c>
      <c r="B552" s="1" t="s">
        <v>348</v>
      </c>
      <c r="C552" s="1" t="s">
        <v>1952</v>
      </c>
      <c r="D552" s="1" t="s">
        <v>1126</v>
      </c>
      <c r="E552" s="1" t="s">
        <v>1953</v>
      </c>
      <c r="F552" s="1" t="s">
        <v>3469</v>
      </c>
      <c r="G552" s="1" t="s">
        <v>650</v>
      </c>
      <c r="H552" s="1" t="s">
        <v>651</v>
      </c>
    </row>
    <row r="553" spans="1:9">
      <c r="A553" s="1" t="s">
        <v>2148</v>
      </c>
      <c r="B553" s="1" t="s">
        <v>403</v>
      </c>
      <c r="C553" s="1" t="s">
        <v>2149</v>
      </c>
      <c r="D553" s="1" t="s">
        <v>1757</v>
      </c>
      <c r="E553" s="1" t="s">
        <v>2150</v>
      </c>
      <c r="F553" s="1" t="s">
        <v>3469</v>
      </c>
      <c r="G553" s="1" t="s">
        <v>667</v>
      </c>
      <c r="H553" s="1" t="s">
        <v>651</v>
      </c>
    </row>
    <row r="554" spans="1:9">
      <c r="A554" s="1" t="s">
        <v>1708</v>
      </c>
      <c r="B554" s="1" t="s">
        <v>280</v>
      </c>
      <c r="C554" s="1" t="s">
        <v>1709</v>
      </c>
      <c r="D554" s="1" t="s">
        <v>792</v>
      </c>
      <c r="E554" s="1" t="s">
        <v>1710</v>
      </c>
      <c r="F554" s="1" t="s">
        <v>3469</v>
      </c>
      <c r="G554" s="1" t="s">
        <v>680</v>
      </c>
      <c r="H554" s="1" t="s">
        <v>651</v>
      </c>
    </row>
    <row r="555" spans="1:9">
      <c r="A555" s="1" t="s">
        <v>2273</v>
      </c>
      <c r="B555" s="1" t="s">
        <v>438</v>
      </c>
      <c r="C555" s="1" t="s">
        <v>669</v>
      </c>
      <c r="D555" s="1" t="s">
        <v>1015</v>
      </c>
      <c r="E555" s="1" t="s">
        <v>2274</v>
      </c>
      <c r="F555" s="1" t="s">
        <v>3469</v>
      </c>
      <c r="G555" s="1" t="s">
        <v>667</v>
      </c>
      <c r="H555" s="1" t="s">
        <v>651</v>
      </c>
      <c r="I555" s="1" t="s">
        <v>691</v>
      </c>
    </row>
    <row r="556" spans="1:9">
      <c r="A556" s="1" t="s">
        <v>2182</v>
      </c>
      <c r="B556" s="1" t="s">
        <v>414</v>
      </c>
      <c r="C556" s="1" t="s">
        <v>1560</v>
      </c>
      <c r="D556" s="1" t="s">
        <v>683</v>
      </c>
      <c r="E556" s="1" t="s">
        <v>2183</v>
      </c>
      <c r="F556" s="1" t="s">
        <v>3469</v>
      </c>
      <c r="G556" s="1" t="s">
        <v>667</v>
      </c>
      <c r="H556" s="1" t="s">
        <v>651</v>
      </c>
      <c r="I556" s="1" t="s">
        <v>652</v>
      </c>
    </row>
    <row r="557" spans="1:9">
      <c r="A557" s="1" t="s">
        <v>2878</v>
      </c>
      <c r="B557" s="1" t="s">
        <v>599</v>
      </c>
      <c r="C557" s="1" t="s">
        <v>2879</v>
      </c>
      <c r="D557" s="1" t="s">
        <v>2880</v>
      </c>
      <c r="E557" s="1" t="s">
        <v>2881</v>
      </c>
      <c r="F557" s="1" t="s">
        <v>3479</v>
      </c>
      <c r="G557" s="1" t="s">
        <v>2838</v>
      </c>
      <c r="H557" s="1" t="s">
        <v>651</v>
      </c>
      <c r="I557" s="1" t="s">
        <v>691</v>
      </c>
    </row>
    <row r="558" spans="1:9">
      <c r="A558" s="1" t="s">
        <v>3588</v>
      </c>
      <c r="B558" s="1" t="s">
        <v>3589</v>
      </c>
      <c r="C558" s="1" t="s">
        <v>3590</v>
      </c>
      <c r="D558" s="1" t="s">
        <v>3591</v>
      </c>
      <c r="E558" s="1" t="s">
        <v>3592</v>
      </c>
      <c r="F558" s="1" t="s">
        <v>3489</v>
      </c>
      <c r="G558" s="1" t="s">
        <v>3016</v>
      </c>
      <c r="H558" s="1" t="s">
        <v>651</v>
      </c>
      <c r="I558" s="1" t="s">
        <v>691</v>
      </c>
    </row>
    <row r="559" spans="1:9">
      <c r="A559" s="1" t="s">
        <v>2541</v>
      </c>
      <c r="B559" s="1" t="s">
        <v>511</v>
      </c>
      <c r="C559" s="1" t="s">
        <v>1090</v>
      </c>
      <c r="D559" s="1" t="s">
        <v>2472</v>
      </c>
      <c r="E559" s="1" t="s">
        <v>2542</v>
      </c>
      <c r="F559" s="1" t="s">
        <v>3469</v>
      </c>
      <c r="G559" s="1" t="s">
        <v>2543</v>
      </c>
      <c r="H559" s="1" t="s">
        <v>651</v>
      </c>
    </row>
    <row r="560" spans="1:9">
      <c r="A560" s="1" t="s">
        <v>3017</v>
      </c>
      <c r="B560" s="1" t="s">
        <v>635</v>
      </c>
      <c r="C560" s="1" t="s">
        <v>3018</v>
      </c>
      <c r="D560" s="1" t="s">
        <v>736</v>
      </c>
      <c r="E560" s="1" t="s">
        <v>3019</v>
      </c>
      <c r="F560" s="1" t="s">
        <v>3470</v>
      </c>
      <c r="G560" s="1" t="s">
        <v>3016</v>
      </c>
      <c r="H560" s="1" t="s">
        <v>651</v>
      </c>
      <c r="I560" s="1" t="s">
        <v>691</v>
      </c>
    </row>
    <row r="561" spans="1:9">
      <c r="A561" s="1" t="s">
        <v>916</v>
      </c>
      <c r="B561" s="1" t="s">
        <v>66</v>
      </c>
      <c r="C561" s="1" t="s">
        <v>917</v>
      </c>
      <c r="D561" s="1" t="s">
        <v>918</v>
      </c>
      <c r="E561" s="1" t="s">
        <v>919</v>
      </c>
      <c r="F561" s="1" t="s">
        <v>3469</v>
      </c>
      <c r="G561" s="1" t="s">
        <v>662</v>
      </c>
      <c r="H561" s="1" t="s">
        <v>651</v>
      </c>
      <c r="I561" s="1" t="s">
        <v>920</v>
      </c>
    </row>
    <row r="562" spans="1:9">
      <c r="A562" s="1" t="s">
        <v>1890</v>
      </c>
      <c r="B562" s="1" t="s">
        <v>66</v>
      </c>
      <c r="C562" s="1" t="s">
        <v>917</v>
      </c>
      <c r="D562" s="1" t="s">
        <v>918</v>
      </c>
      <c r="E562" s="1" t="s">
        <v>1891</v>
      </c>
      <c r="F562" s="1" t="s">
        <v>3469</v>
      </c>
      <c r="G562" s="1" t="s">
        <v>662</v>
      </c>
      <c r="H562" s="1" t="s">
        <v>651</v>
      </c>
      <c r="I562" s="1" t="s">
        <v>920</v>
      </c>
    </row>
    <row r="563" spans="1:9">
      <c r="A563" s="1" t="s">
        <v>3032</v>
      </c>
      <c r="B563" s="1" t="s">
        <v>639</v>
      </c>
      <c r="C563" s="1" t="s">
        <v>3033</v>
      </c>
      <c r="D563" s="1" t="s">
        <v>3034</v>
      </c>
      <c r="E563" s="1" t="s">
        <v>3035</v>
      </c>
      <c r="F563" s="1" t="s">
        <v>3470</v>
      </c>
      <c r="G563" s="1" t="s">
        <v>3016</v>
      </c>
      <c r="H563" s="1" t="s">
        <v>651</v>
      </c>
      <c r="I563" s="1" t="s">
        <v>691</v>
      </c>
    </row>
    <row r="564" spans="1:9">
      <c r="A564" s="1" t="s">
        <v>2296</v>
      </c>
      <c r="B564" s="1" t="s">
        <v>444</v>
      </c>
      <c r="C564" s="1" t="s">
        <v>2297</v>
      </c>
      <c r="D564" s="1" t="s">
        <v>2298</v>
      </c>
      <c r="E564" s="1" t="s">
        <v>2299</v>
      </c>
      <c r="F564" s="1" t="s">
        <v>3469</v>
      </c>
      <c r="G564" s="1" t="s">
        <v>2300</v>
      </c>
      <c r="H564" s="1" t="s">
        <v>651</v>
      </c>
    </row>
    <row r="565" spans="1:9">
      <c r="A565" s="1" t="s">
        <v>705</v>
      </c>
      <c r="B565" s="1" t="s">
        <v>14</v>
      </c>
      <c r="C565" s="1" t="s">
        <v>706</v>
      </c>
      <c r="D565" s="1" t="s">
        <v>707</v>
      </c>
      <c r="E565" s="1" t="s">
        <v>708</v>
      </c>
      <c r="F565" s="1" t="s">
        <v>3469</v>
      </c>
      <c r="G565" s="1" t="s">
        <v>690</v>
      </c>
      <c r="H565" s="1" t="s">
        <v>651</v>
      </c>
      <c r="I565" s="1" t="s">
        <v>691</v>
      </c>
    </row>
    <row r="566" spans="1:9">
      <c r="A566" s="1" t="s">
        <v>663</v>
      </c>
      <c r="B566" s="1" t="s">
        <v>5</v>
      </c>
      <c r="C566" s="1" t="s">
        <v>664</v>
      </c>
      <c r="D566" s="1" t="s">
        <v>665</v>
      </c>
      <c r="E566" s="1" t="s">
        <v>666</v>
      </c>
      <c r="F566" s="1" t="s">
        <v>3469</v>
      </c>
      <c r="G566" s="1" t="s">
        <v>667</v>
      </c>
      <c r="H566" s="1" t="s">
        <v>651</v>
      </c>
      <c r="I566" s="1" t="s">
        <v>652</v>
      </c>
    </row>
    <row r="567" spans="1:9">
      <c r="A567" s="1" t="s">
        <v>2604</v>
      </c>
      <c r="B567" s="1" t="s">
        <v>527</v>
      </c>
      <c r="C567" s="1" t="s">
        <v>2605</v>
      </c>
      <c r="D567" s="1" t="s">
        <v>2606</v>
      </c>
      <c r="E567" s="1" t="s">
        <v>2607</v>
      </c>
      <c r="F567" s="1" t="s">
        <v>3469</v>
      </c>
      <c r="G567" s="1" t="s">
        <v>2543</v>
      </c>
      <c r="H567" s="1" t="s">
        <v>651</v>
      </c>
    </row>
    <row r="568" spans="1:9">
      <c r="A568" s="1" t="s">
        <v>1960</v>
      </c>
      <c r="B568" s="1" t="s">
        <v>351</v>
      </c>
      <c r="C568" s="1" t="s">
        <v>1961</v>
      </c>
      <c r="D568" s="1" t="s">
        <v>1962</v>
      </c>
      <c r="E568" s="1" t="s">
        <v>1963</v>
      </c>
      <c r="F568" s="1" t="s">
        <v>3469</v>
      </c>
      <c r="G568" s="1" t="s">
        <v>680</v>
      </c>
      <c r="H568" s="1" t="s">
        <v>651</v>
      </c>
    </row>
    <row r="569" spans="1:9">
      <c r="A569" s="1" t="s">
        <v>807</v>
      </c>
      <c r="B569" s="1" t="s">
        <v>37</v>
      </c>
      <c r="C569" s="1" t="s">
        <v>808</v>
      </c>
      <c r="D569" s="1" t="s">
        <v>809</v>
      </c>
      <c r="E569" s="1" t="s">
        <v>810</v>
      </c>
      <c r="F569" s="1" t="s">
        <v>3469</v>
      </c>
      <c r="G569" s="1" t="s">
        <v>650</v>
      </c>
      <c r="H569" s="1" t="s">
        <v>651</v>
      </c>
    </row>
    <row r="570" spans="1:9">
      <c r="A570" s="1" t="s">
        <v>2217</v>
      </c>
      <c r="B570" s="1" t="s">
        <v>424</v>
      </c>
      <c r="C570" s="1" t="s">
        <v>2218</v>
      </c>
      <c r="D570" s="1" t="s">
        <v>2219</v>
      </c>
      <c r="E570" s="1" t="s">
        <v>2220</v>
      </c>
      <c r="F570" s="1" t="s">
        <v>3469</v>
      </c>
      <c r="G570" s="1" t="s">
        <v>667</v>
      </c>
      <c r="H570" s="1" t="s">
        <v>651</v>
      </c>
      <c r="I570" s="1" t="s">
        <v>691</v>
      </c>
    </row>
    <row r="571" spans="1:9">
      <c r="A571" s="1" t="s">
        <v>2261</v>
      </c>
      <c r="B571" s="1" t="s">
        <v>424</v>
      </c>
      <c r="C571" s="1" t="s">
        <v>2218</v>
      </c>
      <c r="D571" s="1" t="s">
        <v>2219</v>
      </c>
      <c r="E571" s="1" t="s">
        <v>2262</v>
      </c>
      <c r="F571" s="1" t="s">
        <v>3469</v>
      </c>
      <c r="G571" s="1" t="s">
        <v>667</v>
      </c>
      <c r="H571" s="1" t="s">
        <v>651</v>
      </c>
      <c r="I571" s="1" t="s">
        <v>691</v>
      </c>
    </row>
    <row r="572" spans="1:9">
      <c r="A572" s="1" t="s">
        <v>786</v>
      </c>
      <c r="B572" s="1" t="s">
        <v>32</v>
      </c>
      <c r="C572" s="1" t="s">
        <v>787</v>
      </c>
      <c r="D572" s="1" t="s">
        <v>788</v>
      </c>
      <c r="E572" s="1" t="s">
        <v>789</v>
      </c>
      <c r="F572" s="1" t="s">
        <v>3469</v>
      </c>
      <c r="G572" s="1" t="s">
        <v>662</v>
      </c>
      <c r="H572" s="1" t="s">
        <v>651</v>
      </c>
      <c r="I572" s="1" t="s">
        <v>691</v>
      </c>
    </row>
    <row r="573" spans="1:9">
      <c r="A573" s="1" t="s">
        <v>2176</v>
      </c>
      <c r="B573" s="1" t="s">
        <v>412</v>
      </c>
      <c r="C573" s="1" t="s">
        <v>2177</v>
      </c>
      <c r="D573" s="1" t="s">
        <v>792</v>
      </c>
      <c r="E573" s="1" t="s">
        <v>2178</v>
      </c>
      <c r="F573" s="1" t="s">
        <v>3469</v>
      </c>
      <c r="G573" s="1" t="s">
        <v>662</v>
      </c>
      <c r="H573" s="1" t="s">
        <v>651</v>
      </c>
      <c r="I573" s="1" t="s">
        <v>691</v>
      </c>
    </row>
    <row r="574" spans="1:9">
      <c r="A574" s="1" t="s">
        <v>2289</v>
      </c>
      <c r="B574" s="1" t="s">
        <v>442</v>
      </c>
      <c r="C574" s="1" t="s">
        <v>2290</v>
      </c>
      <c r="D574" s="1" t="s">
        <v>792</v>
      </c>
      <c r="E574" s="1" t="s">
        <v>2291</v>
      </c>
      <c r="F574" s="1" t="s">
        <v>3469</v>
      </c>
      <c r="G574" s="1" t="s">
        <v>837</v>
      </c>
      <c r="H574" s="1" t="s">
        <v>651</v>
      </c>
    </row>
    <row r="575" spans="1:9">
      <c r="A575" s="1" t="s">
        <v>2086</v>
      </c>
      <c r="B575" s="1" t="s">
        <v>384</v>
      </c>
      <c r="C575" s="1" t="s">
        <v>2087</v>
      </c>
      <c r="D575" s="1" t="s">
        <v>2088</v>
      </c>
      <c r="E575" s="1" t="s">
        <v>2089</v>
      </c>
      <c r="F575" s="1" t="s">
        <v>3469</v>
      </c>
      <c r="G575" s="1" t="s">
        <v>667</v>
      </c>
      <c r="H575" s="1" t="s">
        <v>651</v>
      </c>
    </row>
    <row r="576" spans="1:9">
      <c r="A576" s="1" t="s">
        <v>811</v>
      </c>
      <c r="B576" s="1" t="s">
        <v>38</v>
      </c>
      <c r="C576" s="1" t="s">
        <v>669</v>
      </c>
      <c r="D576" s="1" t="s">
        <v>812</v>
      </c>
      <c r="E576" s="1" t="s">
        <v>813</v>
      </c>
      <c r="F576" s="1" t="s">
        <v>3469</v>
      </c>
      <c r="G576" s="1" t="s">
        <v>696</v>
      </c>
      <c r="H576" s="1" t="s">
        <v>651</v>
      </c>
    </row>
    <row r="577" spans="1:9">
      <c r="A577" s="1" t="s">
        <v>814</v>
      </c>
      <c r="B577" s="1" t="s">
        <v>39</v>
      </c>
      <c r="C577" s="1" t="s">
        <v>815</v>
      </c>
      <c r="D577" s="1" t="s">
        <v>771</v>
      </c>
      <c r="E577" s="1" t="s">
        <v>816</v>
      </c>
      <c r="F577" s="1" t="s">
        <v>3469</v>
      </c>
      <c r="G577" s="1" t="s">
        <v>817</v>
      </c>
      <c r="H577" s="1" t="s">
        <v>651</v>
      </c>
    </row>
    <row r="578" spans="1:9">
      <c r="A578" s="1" t="s">
        <v>823</v>
      </c>
      <c r="B578" s="1" t="s">
        <v>41</v>
      </c>
      <c r="C578" s="1" t="s">
        <v>824</v>
      </c>
      <c r="D578" s="1" t="s">
        <v>745</v>
      </c>
      <c r="E578" s="1" t="s">
        <v>825</v>
      </c>
      <c r="F578" s="1" t="s">
        <v>3469</v>
      </c>
      <c r="G578" s="1" t="s">
        <v>657</v>
      </c>
      <c r="H578" s="1" t="s">
        <v>651</v>
      </c>
    </row>
    <row r="579" spans="1:9">
      <c r="A579" s="1" t="s">
        <v>1435</v>
      </c>
      <c r="B579" s="1" t="s">
        <v>210</v>
      </c>
      <c r="C579" s="1" t="s">
        <v>1436</v>
      </c>
      <c r="D579" s="1" t="s">
        <v>1105</v>
      </c>
      <c r="E579" s="1" t="s">
        <v>1437</v>
      </c>
      <c r="F579" s="1" t="s">
        <v>3469</v>
      </c>
      <c r="G579" s="1" t="s">
        <v>690</v>
      </c>
      <c r="H579" s="1" t="s">
        <v>651</v>
      </c>
      <c r="I579" s="1" t="s">
        <v>691</v>
      </c>
    </row>
    <row r="580" spans="1:9">
      <c r="A580" s="1" t="s">
        <v>1906</v>
      </c>
      <c r="B580" s="1" t="s">
        <v>335</v>
      </c>
      <c r="C580" s="1" t="s">
        <v>1907</v>
      </c>
      <c r="D580" s="1" t="s">
        <v>923</v>
      </c>
      <c r="E580" s="1" t="s">
        <v>1908</v>
      </c>
      <c r="F580" s="1" t="s">
        <v>3469</v>
      </c>
      <c r="G580" s="1" t="s">
        <v>662</v>
      </c>
      <c r="H580" s="1" t="s">
        <v>651</v>
      </c>
    </row>
    <row r="581" spans="1:9">
      <c r="A581" s="1" t="s">
        <v>1622</v>
      </c>
      <c r="B581" s="1" t="s">
        <v>257</v>
      </c>
      <c r="C581" s="1" t="s">
        <v>669</v>
      </c>
      <c r="D581" s="1" t="s">
        <v>1623</v>
      </c>
      <c r="E581" s="1" t="s">
        <v>1624</v>
      </c>
      <c r="F581" s="1" t="s">
        <v>3469</v>
      </c>
      <c r="G581" s="1" t="s">
        <v>1625</v>
      </c>
      <c r="H581" s="1" t="s">
        <v>651</v>
      </c>
    </row>
    <row r="582" spans="1:9">
      <c r="A582" s="1" t="s">
        <v>1804</v>
      </c>
      <c r="B582" s="1" t="s">
        <v>308</v>
      </c>
      <c r="C582" s="1" t="s">
        <v>1805</v>
      </c>
      <c r="D582" s="1" t="s">
        <v>1806</v>
      </c>
      <c r="E582" s="1" t="s">
        <v>1807</v>
      </c>
      <c r="F582" s="1" t="s">
        <v>3469</v>
      </c>
      <c r="G582" s="1" t="s">
        <v>685</v>
      </c>
      <c r="H582" s="1" t="s">
        <v>651</v>
      </c>
      <c r="I582" s="1" t="s">
        <v>691</v>
      </c>
    </row>
    <row r="583" spans="1:9">
      <c r="A583" s="1" t="s">
        <v>2470</v>
      </c>
      <c r="B583" s="1" t="s">
        <v>490</v>
      </c>
      <c r="C583" s="1" t="s">
        <v>2471</v>
      </c>
      <c r="D583" s="1" t="s">
        <v>2472</v>
      </c>
      <c r="E583" s="1" t="s">
        <v>2473</v>
      </c>
      <c r="F583" s="1" t="s">
        <v>3469</v>
      </c>
      <c r="G583" s="1" t="s">
        <v>2238</v>
      </c>
      <c r="H583" s="1" t="s">
        <v>651</v>
      </c>
    </row>
    <row r="584" spans="1:9">
      <c r="A584" s="1" t="s">
        <v>1790</v>
      </c>
      <c r="B584" s="1" t="s">
        <v>304</v>
      </c>
      <c r="C584" s="1" t="s">
        <v>1791</v>
      </c>
      <c r="D584" s="1" t="s">
        <v>1792</v>
      </c>
      <c r="E584" s="1" t="s">
        <v>1793</v>
      </c>
      <c r="F584" s="1" t="s">
        <v>3469</v>
      </c>
      <c r="G584" s="1" t="s">
        <v>680</v>
      </c>
      <c r="H584" s="1" t="s">
        <v>651</v>
      </c>
      <c r="I584" s="1" t="s">
        <v>691</v>
      </c>
    </row>
    <row r="585" spans="1:9">
      <c r="A585" s="1" t="s">
        <v>2927</v>
      </c>
      <c r="B585" s="1" t="s">
        <v>611</v>
      </c>
      <c r="C585" s="1" t="s">
        <v>2928</v>
      </c>
      <c r="D585" s="1" t="s">
        <v>2929</v>
      </c>
      <c r="E585" s="1" t="s">
        <v>2930</v>
      </c>
      <c r="F585" s="1" t="s">
        <v>3474</v>
      </c>
      <c r="G585" s="1" t="s">
        <v>2897</v>
      </c>
      <c r="H585" s="1" t="s">
        <v>651</v>
      </c>
      <c r="I585" s="1" t="s">
        <v>691</v>
      </c>
    </row>
    <row r="586" spans="1:9">
      <c r="A586" s="1" t="s">
        <v>2239</v>
      </c>
      <c r="B586" s="1" t="s">
        <v>430</v>
      </c>
      <c r="C586" s="1" t="s">
        <v>2240</v>
      </c>
      <c r="D586" s="1" t="s">
        <v>852</v>
      </c>
      <c r="E586" s="1" t="s">
        <v>2241</v>
      </c>
      <c r="F586" s="1" t="s">
        <v>3469</v>
      </c>
      <c r="G586" s="1" t="s">
        <v>667</v>
      </c>
      <c r="H586" s="1" t="s">
        <v>651</v>
      </c>
    </row>
    <row r="587" spans="1:9">
      <c r="A587" s="1" t="s">
        <v>1812</v>
      </c>
      <c r="B587" s="1" t="s">
        <v>310</v>
      </c>
      <c r="C587" s="1" t="s">
        <v>1813</v>
      </c>
      <c r="D587" s="1" t="s">
        <v>1814</v>
      </c>
      <c r="E587" s="1" t="s">
        <v>1815</v>
      </c>
      <c r="F587" s="1" t="s">
        <v>3469</v>
      </c>
      <c r="G587" s="1" t="s">
        <v>650</v>
      </c>
      <c r="H587" s="1" t="s">
        <v>651</v>
      </c>
      <c r="I587" s="1" t="s">
        <v>691</v>
      </c>
    </row>
    <row r="588" spans="1:9">
      <c r="A588" s="1" t="s">
        <v>2444</v>
      </c>
      <c r="B588" s="1" t="s">
        <v>483</v>
      </c>
      <c r="C588" s="1" t="s">
        <v>2445</v>
      </c>
      <c r="D588" s="1" t="s">
        <v>809</v>
      </c>
      <c r="E588" s="1" t="s">
        <v>2446</v>
      </c>
      <c r="F588" s="1" t="s">
        <v>3480</v>
      </c>
      <c r="G588" s="1" t="s">
        <v>2436</v>
      </c>
      <c r="H588" s="1" t="s">
        <v>651</v>
      </c>
      <c r="I588" s="1" t="s">
        <v>691</v>
      </c>
    </row>
    <row r="589" spans="1:9">
      <c r="A589" s="1" t="s">
        <v>2463</v>
      </c>
      <c r="B589" s="1" t="s">
        <v>488</v>
      </c>
      <c r="C589" s="1" t="s">
        <v>2464</v>
      </c>
      <c r="D589" s="1" t="s">
        <v>1062</v>
      </c>
      <c r="E589" s="1" t="s">
        <v>2465</v>
      </c>
      <c r="F589" s="1" t="s">
        <v>3480</v>
      </c>
      <c r="G589" s="1" t="s">
        <v>2436</v>
      </c>
      <c r="H589" s="1" t="s">
        <v>651</v>
      </c>
      <c r="I589" s="1" t="s">
        <v>691</v>
      </c>
    </row>
    <row r="590" spans="1:9">
      <c r="A590" s="1" t="s">
        <v>842</v>
      </c>
      <c r="B590" s="1" t="s">
        <v>46</v>
      </c>
      <c r="C590" s="1" t="s">
        <v>843</v>
      </c>
      <c r="D590" s="1" t="s">
        <v>844</v>
      </c>
      <c r="E590" s="1" t="s">
        <v>845</v>
      </c>
      <c r="F590" s="1" t="s">
        <v>3469</v>
      </c>
      <c r="G590" s="1" t="s">
        <v>662</v>
      </c>
      <c r="H590" s="1" t="s">
        <v>651</v>
      </c>
    </row>
    <row r="591" spans="1:9">
      <c r="A591" s="1" t="s">
        <v>681</v>
      </c>
      <c r="B591" s="1" t="s">
        <v>9</v>
      </c>
      <c r="C591" s="1" t="s">
        <v>682</v>
      </c>
      <c r="D591" s="1" t="s">
        <v>683</v>
      </c>
      <c r="E591" s="1" t="s">
        <v>684</v>
      </c>
      <c r="F591" s="1" t="s">
        <v>3469</v>
      </c>
      <c r="G591" s="1" t="s">
        <v>685</v>
      </c>
      <c r="H591" s="1" t="s">
        <v>651</v>
      </c>
    </row>
    <row r="592" spans="1:9">
      <c r="A592" s="1" t="s">
        <v>1843</v>
      </c>
      <c r="B592" s="1" t="s">
        <v>319</v>
      </c>
      <c r="C592" s="1" t="s">
        <v>1844</v>
      </c>
      <c r="D592" s="1" t="s">
        <v>719</v>
      </c>
      <c r="E592" s="1" t="s">
        <v>1845</v>
      </c>
      <c r="F592" s="1" t="s">
        <v>3469</v>
      </c>
      <c r="G592" s="1" t="s">
        <v>764</v>
      </c>
      <c r="H592" s="1" t="s">
        <v>651</v>
      </c>
    </row>
    <row r="593" spans="1:9">
      <c r="A593" s="1" t="s">
        <v>758</v>
      </c>
      <c r="B593" s="1" t="s">
        <v>26</v>
      </c>
      <c r="C593" s="1" t="s">
        <v>669</v>
      </c>
      <c r="D593" s="1" t="s">
        <v>759</v>
      </c>
      <c r="E593" s="1" t="s">
        <v>760</v>
      </c>
      <c r="F593" s="1" t="s">
        <v>3469</v>
      </c>
      <c r="G593" s="1" t="s">
        <v>667</v>
      </c>
      <c r="H593" s="1" t="s">
        <v>651</v>
      </c>
      <c r="I593" s="1" t="s">
        <v>691</v>
      </c>
    </row>
    <row r="594" spans="1:9">
      <c r="A594" s="1" t="s">
        <v>913</v>
      </c>
      <c r="B594" s="1" t="s">
        <v>65</v>
      </c>
      <c r="C594" s="1" t="s">
        <v>914</v>
      </c>
      <c r="D594" s="1" t="s">
        <v>719</v>
      </c>
      <c r="E594" s="1" t="s">
        <v>915</v>
      </c>
      <c r="F594" s="1" t="s">
        <v>3469</v>
      </c>
      <c r="G594" s="1" t="s">
        <v>667</v>
      </c>
      <c r="H594" s="1" t="s">
        <v>651</v>
      </c>
      <c r="I594" s="1" t="s">
        <v>691</v>
      </c>
    </row>
    <row r="595" spans="1:9">
      <c r="A595" s="1" t="s">
        <v>2760</v>
      </c>
      <c r="B595" s="1" t="s">
        <v>568</v>
      </c>
      <c r="C595" s="1" t="s">
        <v>2761</v>
      </c>
      <c r="D595" s="1" t="s">
        <v>2628</v>
      </c>
      <c r="E595" s="1" t="s">
        <v>2762</v>
      </c>
      <c r="F595" s="1" t="s">
        <v>3552</v>
      </c>
      <c r="G595" s="1" t="s">
        <v>2669</v>
      </c>
      <c r="H595" s="1" t="s">
        <v>651</v>
      </c>
      <c r="I595" s="1" t="s">
        <v>2458</v>
      </c>
    </row>
    <row r="596" spans="1:9">
      <c r="A596" s="1" t="s">
        <v>2580</v>
      </c>
      <c r="B596" s="1" t="s">
        <v>520</v>
      </c>
      <c r="C596" s="1" t="s">
        <v>2581</v>
      </c>
      <c r="D596" s="1" t="s">
        <v>2281</v>
      </c>
      <c r="E596" s="1" t="s">
        <v>2582</v>
      </c>
      <c r="F596" s="1" t="s">
        <v>3475</v>
      </c>
      <c r="G596" s="1" t="s">
        <v>2238</v>
      </c>
      <c r="H596" s="1" t="s">
        <v>651</v>
      </c>
      <c r="I596" s="1" t="s">
        <v>691</v>
      </c>
    </row>
    <row r="597" spans="1:9">
      <c r="A597" s="1" t="s">
        <v>1735</v>
      </c>
      <c r="B597" s="1" t="s">
        <v>287</v>
      </c>
      <c r="C597" s="1" t="s">
        <v>1736</v>
      </c>
      <c r="D597" s="1" t="s">
        <v>1737</v>
      </c>
      <c r="E597" s="1" t="s">
        <v>1738</v>
      </c>
      <c r="F597" s="1" t="s">
        <v>3469</v>
      </c>
      <c r="G597" s="1" t="s">
        <v>837</v>
      </c>
      <c r="H597" s="1" t="s">
        <v>651</v>
      </c>
    </row>
    <row r="598" spans="1:9">
      <c r="A598" s="1" t="s">
        <v>1823</v>
      </c>
      <c r="B598" s="1" t="s">
        <v>313</v>
      </c>
      <c r="C598" s="1" t="s">
        <v>1824</v>
      </c>
      <c r="D598" s="1" t="s">
        <v>918</v>
      </c>
      <c r="E598" s="1" t="s">
        <v>1825</v>
      </c>
      <c r="F598" s="1" t="s">
        <v>3469</v>
      </c>
      <c r="G598" s="1" t="s">
        <v>680</v>
      </c>
      <c r="H598" s="1" t="s">
        <v>651</v>
      </c>
      <c r="I598" s="1" t="s">
        <v>691</v>
      </c>
    </row>
    <row r="599" spans="1:9">
      <c r="A599" s="1" t="s">
        <v>1773</v>
      </c>
      <c r="B599" s="1" t="s">
        <v>299</v>
      </c>
      <c r="C599" s="1" t="s">
        <v>1774</v>
      </c>
      <c r="D599" s="1" t="s">
        <v>665</v>
      </c>
      <c r="E599" s="1" t="s">
        <v>1775</v>
      </c>
      <c r="F599" s="1" t="s">
        <v>3469</v>
      </c>
      <c r="G599" s="1" t="s">
        <v>1074</v>
      </c>
      <c r="H599" s="1" t="s">
        <v>651</v>
      </c>
      <c r="I599" s="1" t="s">
        <v>691</v>
      </c>
    </row>
    <row r="600" spans="1:9">
      <c r="A600" s="1" t="s">
        <v>1182</v>
      </c>
      <c r="B600" s="1" t="s">
        <v>140</v>
      </c>
      <c r="C600" s="1" t="s">
        <v>1183</v>
      </c>
      <c r="D600" s="1" t="s">
        <v>1184</v>
      </c>
      <c r="E600" s="1" t="s">
        <v>1185</v>
      </c>
      <c r="F600" s="1" t="s">
        <v>3469</v>
      </c>
      <c r="G600" s="1" t="s">
        <v>657</v>
      </c>
      <c r="H600" s="1" t="s">
        <v>651</v>
      </c>
    </row>
    <row r="601" spans="1:9">
      <c r="A601" s="1" t="s">
        <v>2451</v>
      </c>
      <c r="B601" s="1" t="s">
        <v>485</v>
      </c>
      <c r="C601" s="1" t="s">
        <v>2452</v>
      </c>
      <c r="D601" s="1" t="s">
        <v>2058</v>
      </c>
      <c r="E601" s="1" t="s">
        <v>2453</v>
      </c>
      <c r="F601" s="1" t="s">
        <v>3480</v>
      </c>
      <c r="G601" s="1" t="s">
        <v>2436</v>
      </c>
      <c r="H601" s="1" t="s">
        <v>651</v>
      </c>
      <c r="I601" s="1" t="s">
        <v>691</v>
      </c>
    </row>
    <row r="602" spans="1:9">
      <c r="A602" s="1" t="s">
        <v>2447</v>
      </c>
      <c r="B602" s="1" t="s">
        <v>484</v>
      </c>
      <c r="C602" s="1" t="s">
        <v>2448</v>
      </c>
      <c r="D602" s="1" t="s">
        <v>2449</v>
      </c>
      <c r="E602" s="1" t="s">
        <v>2450</v>
      </c>
      <c r="F602" s="1" t="s">
        <v>3480</v>
      </c>
      <c r="G602" s="1" t="s">
        <v>2436</v>
      </c>
      <c r="H602" s="1" t="s">
        <v>651</v>
      </c>
      <c r="I602" s="1" t="s">
        <v>691</v>
      </c>
    </row>
    <row r="603" spans="1:9">
      <c r="A603" s="1" t="s">
        <v>1924</v>
      </c>
      <c r="B603" s="1" t="s">
        <v>341</v>
      </c>
      <c r="C603" s="1" t="s">
        <v>1925</v>
      </c>
      <c r="D603" s="1" t="s">
        <v>1926</v>
      </c>
      <c r="E603" s="1" t="s">
        <v>1927</v>
      </c>
      <c r="F603" s="1" t="s">
        <v>3469</v>
      </c>
      <c r="G603" s="1" t="s">
        <v>764</v>
      </c>
      <c r="H603" s="1" t="s">
        <v>651</v>
      </c>
    </row>
    <row r="604" spans="1:9">
      <c r="A604" s="1" t="s">
        <v>2459</v>
      </c>
      <c r="B604" s="1" t="s">
        <v>487</v>
      </c>
      <c r="C604" s="1" t="s">
        <v>2460</v>
      </c>
      <c r="D604" s="1" t="s">
        <v>2461</v>
      </c>
      <c r="E604" s="1" t="s">
        <v>2462</v>
      </c>
      <c r="F604" s="1" t="s">
        <v>3480</v>
      </c>
      <c r="G604" s="1" t="s">
        <v>2436</v>
      </c>
      <c r="H604" s="1" t="s">
        <v>651</v>
      </c>
      <c r="I604" s="1" t="s">
        <v>691</v>
      </c>
    </row>
    <row r="605" spans="1:9">
      <c r="A605" s="1" t="s">
        <v>2466</v>
      </c>
      <c r="B605" s="1" t="s">
        <v>489</v>
      </c>
      <c r="C605" s="1" t="s">
        <v>2467</v>
      </c>
      <c r="D605" s="1" t="s">
        <v>2468</v>
      </c>
      <c r="E605" s="1" t="s">
        <v>2469</v>
      </c>
      <c r="F605" s="1" t="s">
        <v>3469</v>
      </c>
      <c r="G605" s="1" t="s">
        <v>837</v>
      </c>
      <c r="H605" s="1" t="s">
        <v>651</v>
      </c>
    </row>
    <row r="606" spans="1:9">
      <c r="A606" s="1" t="s">
        <v>1837</v>
      </c>
      <c r="B606" s="1" t="s">
        <v>317</v>
      </c>
      <c r="C606" s="1" t="s">
        <v>1838</v>
      </c>
      <c r="D606" s="1" t="s">
        <v>852</v>
      </c>
      <c r="E606" s="1" t="s">
        <v>1839</v>
      </c>
      <c r="F606" s="1" t="s">
        <v>3469</v>
      </c>
      <c r="G606" s="1" t="s">
        <v>680</v>
      </c>
      <c r="H606" s="1" t="s">
        <v>651</v>
      </c>
      <c r="I606" s="1" t="s">
        <v>691</v>
      </c>
    </row>
    <row r="607" spans="1:9">
      <c r="A607" s="1" t="s">
        <v>773</v>
      </c>
      <c r="B607" s="1" t="s">
        <v>29</v>
      </c>
      <c r="C607" s="1" t="s">
        <v>774</v>
      </c>
      <c r="D607" s="1" t="s">
        <v>775</v>
      </c>
      <c r="E607" s="1" t="s">
        <v>776</v>
      </c>
      <c r="F607" s="1" t="s">
        <v>3469</v>
      </c>
      <c r="G607" s="1" t="s">
        <v>777</v>
      </c>
      <c r="H607" s="1" t="s">
        <v>651</v>
      </c>
    </row>
    <row r="608" spans="1:9">
      <c r="A608" s="1" t="s">
        <v>2708</v>
      </c>
      <c r="B608" s="1" t="s">
        <v>555</v>
      </c>
      <c r="C608" s="1" t="s">
        <v>2709</v>
      </c>
      <c r="D608" s="1" t="s">
        <v>2472</v>
      </c>
      <c r="E608" s="1" t="s">
        <v>2710</v>
      </c>
      <c r="F608" s="1" t="s">
        <v>3469</v>
      </c>
      <c r="G608" s="1" t="s">
        <v>2568</v>
      </c>
      <c r="H608" s="1" t="s">
        <v>651</v>
      </c>
    </row>
    <row r="609" spans="1:9">
      <c r="A609" s="1" t="s">
        <v>1167</v>
      </c>
      <c r="B609" s="1" t="s">
        <v>136</v>
      </c>
      <c r="C609" s="1" t="s">
        <v>1168</v>
      </c>
      <c r="D609" s="1" t="s">
        <v>1169</v>
      </c>
      <c r="E609" s="1" t="s">
        <v>1170</v>
      </c>
      <c r="F609" s="1" t="s">
        <v>3469</v>
      </c>
      <c r="G609" s="1" t="s">
        <v>650</v>
      </c>
      <c r="H609" s="1" t="s">
        <v>651</v>
      </c>
    </row>
    <row r="610" spans="1:9">
      <c r="A610" s="1" t="s">
        <v>1142</v>
      </c>
      <c r="B610" s="1" t="s">
        <v>128</v>
      </c>
      <c r="C610" s="1" t="s">
        <v>669</v>
      </c>
      <c r="D610" s="1" t="s">
        <v>1143</v>
      </c>
      <c r="E610" s="1" t="s">
        <v>1144</v>
      </c>
      <c r="F610" s="1" t="s">
        <v>3469</v>
      </c>
      <c r="G610" s="1" t="s">
        <v>650</v>
      </c>
      <c r="H610" s="1" t="s">
        <v>651</v>
      </c>
    </row>
    <row r="611" spans="1:9">
      <c r="A611" s="1" t="s">
        <v>1421</v>
      </c>
      <c r="B611" s="1" t="s">
        <v>206</v>
      </c>
      <c r="C611" s="1" t="s">
        <v>1422</v>
      </c>
      <c r="D611" s="1" t="s">
        <v>792</v>
      </c>
      <c r="E611" s="1" t="s">
        <v>1423</v>
      </c>
      <c r="F611" s="1" t="s">
        <v>3469</v>
      </c>
      <c r="G611" s="1" t="s">
        <v>650</v>
      </c>
      <c r="H611" s="1" t="s">
        <v>651</v>
      </c>
    </row>
    <row r="612" spans="1:9">
      <c r="A612" s="1" t="s">
        <v>1207</v>
      </c>
      <c r="B612" s="1" t="s">
        <v>147</v>
      </c>
      <c r="C612" s="1" t="s">
        <v>669</v>
      </c>
      <c r="D612" s="1" t="s">
        <v>1143</v>
      </c>
      <c r="E612" s="1" t="s">
        <v>1208</v>
      </c>
      <c r="F612" s="1" t="s">
        <v>3469</v>
      </c>
      <c r="G612" s="1" t="s">
        <v>729</v>
      </c>
      <c r="H612" s="1" t="s">
        <v>651</v>
      </c>
    </row>
    <row r="613" spans="1:9">
      <c r="A613" s="1" t="s">
        <v>1720</v>
      </c>
      <c r="B613" s="1" t="s">
        <v>283</v>
      </c>
      <c r="C613" s="1" t="s">
        <v>1721</v>
      </c>
      <c r="D613" s="1" t="s">
        <v>1722</v>
      </c>
      <c r="E613" s="1" t="s">
        <v>1723</v>
      </c>
      <c r="F613" s="1" t="s">
        <v>3469</v>
      </c>
      <c r="G613" s="1" t="s">
        <v>777</v>
      </c>
      <c r="H613" s="1" t="s">
        <v>651</v>
      </c>
      <c r="I613" s="1" t="s">
        <v>691</v>
      </c>
    </row>
    <row r="614" spans="1:9">
      <c r="A614" s="1" t="s">
        <v>2258</v>
      </c>
      <c r="B614" s="1" t="s">
        <v>435</v>
      </c>
      <c r="C614" s="1" t="s">
        <v>2259</v>
      </c>
      <c r="D614" s="1" t="s">
        <v>1233</v>
      </c>
      <c r="E614" s="1" t="s">
        <v>2260</v>
      </c>
      <c r="F614" s="1" t="s">
        <v>3469</v>
      </c>
      <c r="G614" s="1" t="s">
        <v>874</v>
      </c>
      <c r="H614" s="1" t="s">
        <v>651</v>
      </c>
    </row>
    <row r="615" spans="1:9">
      <c r="A615" s="1" t="s">
        <v>1704</v>
      </c>
      <c r="B615" s="1" t="s">
        <v>279</v>
      </c>
      <c r="C615" s="1" t="s">
        <v>669</v>
      </c>
      <c r="D615" s="1" t="s">
        <v>1705</v>
      </c>
      <c r="E615" s="1" t="s">
        <v>1706</v>
      </c>
      <c r="F615" s="1" t="s">
        <v>3469</v>
      </c>
      <c r="G615" s="1" t="s">
        <v>1707</v>
      </c>
      <c r="H615" s="1" t="s">
        <v>651</v>
      </c>
    </row>
    <row r="616" spans="1:9">
      <c r="A616" s="1" t="s">
        <v>1223</v>
      </c>
      <c r="B616" s="1" t="s">
        <v>152</v>
      </c>
      <c r="C616" s="1" t="s">
        <v>1224</v>
      </c>
      <c r="D616" s="1" t="s">
        <v>1225</v>
      </c>
      <c r="E616" s="1" t="s">
        <v>1226</v>
      </c>
      <c r="F616" s="1" t="s">
        <v>3469</v>
      </c>
      <c r="G616" s="1" t="s">
        <v>667</v>
      </c>
      <c r="H616" s="1" t="s">
        <v>651</v>
      </c>
      <c r="I616" s="1" t="s">
        <v>691</v>
      </c>
    </row>
    <row r="617" spans="1:9">
      <c r="A617" s="1" t="s">
        <v>1638</v>
      </c>
      <c r="B617" s="1" t="s">
        <v>261</v>
      </c>
      <c r="C617" s="1" t="s">
        <v>1639</v>
      </c>
      <c r="D617" s="1" t="s">
        <v>1640</v>
      </c>
      <c r="E617" s="1" t="s">
        <v>1641</v>
      </c>
      <c r="F617" s="1" t="s">
        <v>3469</v>
      </c>
      <c r="G617" s="1" t="s">
        <v>680</v>
      </c>
      <c r="H617" s="1" t="s">
        <v>651</v>
      </c>
    </row>
    <row r="618" spans="1:9">
      <c r="A618" s="1" t="s">
        <v>1017</v>
      </c>
      <c r="B618" s="1" t="s">
        <v>93</v>
      </c>
      <c r="C618" s="1" t="s">
        <v>669</v>
      </c>
      <c r="D618" s="1" t="s">
        <v>1018</v>
      </c>
      <c r="E618" s="1" t="s">
        <v>1019</v>
      </c>
      <c r="F618" s="1" t="s">
        <v>3469</v>
      </c>
      <c r="G618" s="1" t="s">
        <v>690</v>
      </c>
      <c r="H618" s="1" t="s">
        <v>651</v>
      </c>
      <c r="I618" s="1" t="s">
        <v>691</v>
      </c>
    </row>
    <row r="619" spans="1:9">
      <c r="A619" s="1" t="s">
        <v>1594</v>
      </c>
      <c r="B619" s="1" t="s">
        <v>249</v>
      </c>
      <c r="C619" s="1" t="s">
        <v>1595</v>
      </c>
      <c r="D619" s="1" t="s">
        <v>1180</v>
      </c>
      <c r="E619" s="1" t="s">
        <v>1596</v>
      </c>
      <c r="F619" s="1" t="s">
        <v>3469</v>
      </c>
      <c r="G619" s="1" t="s">
        <v>802</v>
      </c>
      <c r="H619" s="1" t="s">
        <v>651</v>
      </c>
    </row>
    <row r="620" spans="1:9">
      <c r="A620" s="1" t="s">
        <v>2322</v>
      </c>
      <c r="B620" s="1" t="s">
        <v>249</v>
      </c>
      <c r="C620" s="1" t="s">
        <v>1595</v>
      </c>
      <c r="D620" s="1" t="s">
        <v>1180</v>
      </c>
      <c r="E620" s="1" t="s">
        <v>2323</v>
      </c>
      <c r="F620" s="1" t="s">
        <v>3469</v>
      </c>
      <c r="G620" s="1" t="s">
        <v>802</v>
      </c>
      <c r="H620" s="1" t="s">
        <v>651</v>
      </c>
    </row>
    <row r="621" spans="1:9">
      <c r="A621" s="1" t="s">
        <v>1319</v>
      </c>
      <c r="B621" s="1" t="s">
        <v>178</v>
      </c>
      <c r="C621" s="1" t="s">
        <v>1320</v>
      </c>
      <c r="D621" s="1" t="s">
        <v>699</v>
      </c>
      <c r="E621" s="1" t="s">
        <v>1321</v>
      </c>
      <c r="F621" s="1" t="s">
        <v>3469</v>
      </c>
      <c r="G621" s="1" t="s">
        <v>685</v>
      </c>
      <c r="H621" s="1" t="s">
        <v>651</v>
      </c>
    </row>
    <row r="622" spans="1:9">
      <c r="A622" s="1" t="s">
        <v>697</v>
      </c>
      <c r="B622" s="1" t="s">
        <v>12</v>
      </c>
      <c r="C622" s="1" t="s">
        <v>698</v>
      </c>
      <c r="D622" s="1" t="s">
        <v>699</v>
      </c>
      <c r="E622" s="1" t="s">
        <v>700</v>
      </c>
      <c r="F622" s="1" t="s">
        <v>3469</v>
      </c>
      <c r="G622" s="1" t="s">
        <v>650</v>
      </c>
      <c r="H622" s="1" t="s">
        <v>651</v>
      </c>
    </row>
    <row r="623" spans="1:9">
      <c r="A623" s="1" t="s">
        <v>1635</v>
      </c>
      <c r="B623" s="1" t="s">
        <v>260</v>
      </c>
      <c r="C623" s="1" t="s">
        <v>669</v>
      </c>
      <c r="D623" s="1" t="s">
        <v>1636</v>
      </c>
      <c r="E623" s="1" t="s">
        <v>1637</v>
      </c>
      <c r="F623" s="1" t="s">
        <v>3469</v>
      </c>
      <c r="G623" s="1" t="s">
        <v>680</v>
      </c>
      <c r="H623" s="1" t="s">
        <v>651</v>
      </c>
    </row>
    <row r="624" spans="1:9">
      <c r="A624" s="1" t="s">
        <v>1921</v>
      </c>
      <c r="B624" s="1" t="s">
        <v>340</v>
      </c>
      <c r="C624" s="1" t="s">
        <v>1922</v>
      </c>
      <c r="D624" s="1" t="s">
        <v>1587</v>
      </c>
      <c r="E624" s="1" t="s">
        <v>1923</v>
      </c>
      <c r="F624" s="1" t="s">
        <v>3469</v>
      </c>
      <c r="G624" s="1" t="s">
        <v>680</v>
      </c>
      <c r="H624" s="1" t="s">
        <v>651</v>
      </c>
    </row>
    <row r="625" spans="1:9">
      <c r="A625" s="1" t="s">
        <v>2108</v>
      </c>
      <c r="B625" s="1" t="s">
        <v>391</v>
      </c>
      <c r="C625" s="1" t="s">
        <v>2109</v>
      </c>
      <c r="D625" s="1" t="s">
        <v>2110</v>
      </c>
      <c r="E625" s="1" t="s">
        <v>2111</v>
      </c>
      <c r="F625" s="1" t="s">
        <v>3469</v>
      </c>
      <c r="G625" s="1" t="s">
        <v>667</v>
      </c>
      <c r="H625" s="1" t="s">
        <v>651</v>
      </c>
    </row>
    <row r="626" spans="1:9">
      <c r="A626" s="1" t="s">
        <v>1603</v>
      </c>
      <c r="B626" s="1" t="s">
        <v>252</v>
      </c>
      <c r="C626" s="1" t="s">
        <v>1604</v>
      </c>
      <c r="D626" s="1" t="s">
        <v>771</v>
      </c>
      <c r="E626" s="1" t="s">
        <v>1605</v>
      </c>
      <c r="F626" s="1" t="s">
        <v>3469</v>
      </c>
      <c r="G626" s="1" t="s">
        <v>729</v>
      </c>
      <c r="H626" s="1" t="s">
        <v>651</v>
      </c>
    </row>
    <row r="627" spans="1:9">
      <c r="A627" s="1" t="s">
        <v>1543</v>
      </c>
      <c r="B627" s="1" t="s">
        <v>235</v>
      </c>
      <c r="C627" s="1" t="s">
        <v>669</v>
      </c>
      <c r="D627" s="1" t="s">
        <v>1544</v>
      </c>
      <c r="E627" s="1" t="s">
        <v>1545</v>
      </c>
      <c r="F627" s="1" t="s">
        <v>3469</v>
      </c>
      <c r="G627" s="1" t="s">
        <v>764</v>
      </c>
      <c r="H627" s="1" t="s">
        <v>651</v>
      </c>
    </row>
    <row r="628" spans="1:9">
      <c r="A628" s="1" t="s">
        <v>1933</v>
      </c>
      <c r="B628" s="1" t="s">
        <v>344</v>
      </c>
      <c r="C628" s="1" t="s">
        <v>1604</v>
      </c>
      <c r="D628" s="1" t="s">
        <v>771</v>
      </c>
      <c r="E628" s="1" t="s">
        <v>1934</v>
      </c>
      <c r="F628" s="1" t="s">
        <v>3469</v>
      </c>
      <c r="G628" s="1" t="s">
        <v>729</v>
      </c>
      <c r="H628" s="1" t="s">
        <v>651</v>
      </c>
    </row>
    <row r="629" spans="1:9">
      <c r="A629" s="1" t="s">
        <v>1132</v>
      </c>
      <c r="B629" s="1" t="s">
        <v>125</v>
      </c>
      <c r="C629" s="1" t="s">
        <v>1133</v>
      </c>
      <c r="D629" s="1" t="s">
        <v>983</v>
      </c>
      <c r="E629" s="1" t="s">
        <v>1134</v>
      </c>
      <c r="F629" s="1" t="s">
        <v>3469</v>
      </c>
      <c r="G629" s="1" t="s">
        <v>667</v>
      </c>
      <c r="H629" s="1" t="s">
        <v>651</v>
      </c>
      <c r="I629" s="1" t="s">
        <v>691</v>
      </c>
    </row>
    <row r="630" spans="1:9">
      <c r="A630" s="1" t="s">
        <v>1064</v>
      </c>
      <c r="B630" s="1" t="s">
        <v>106</v>
      </c>
      <c r="C630" s="1" t="s">
        <v>1065</v>
      </c>
      <c r="D630" s="1" t="s">
        <v>1066</v>
      </c>
      <c r="E630" s="1" t="s">
        <v>1067</v>
      </c>
      <c r="F630" s="1" t="s">
        <v>3469</v>
      </c>
      <c r="G630" s="1" t="s">
        <v>662</v>
      </c>
      <c r="H630" s="1" t="s">
        <v>651</v>
      </c>
      <c r="I630" s="1" t="s">
        <v>691</v>
      </c>
    </row>
    <row r="631" spans="1:9">
      <c r="A631" s="1" t="s">
        <v>864</v>
      </c>
      <c r="B631" s="1" t="s">
        <v>52</v>
      </c>
      <c r="C631" s="1" t="s">
        <v>865</v>
      </c>
      <c r="D631" s="1" t="s">
        <v>866</v>
      </c>
      <c r="E631" s="1" t="s">
        <v>867</v>
      </c>
      <c r="F631" s="1" t="s">
        <v>3469</v>
      </c>
      <c r="G631" s="1" t="s">
        <v>667</v>
      </c>
      <c r="H631" s="1" t="s">
        <v>651</v>
      </c>
      <c r="I631" s="1" t="s">
        <v>691</v>
      </c>
    </row>
    <row r="632" spans="1:9">
      <c r="A632" s="1" t="s">
        <v>2267</v>
      </c>
      <c r="B632" s="1" t="s">
        <v>436</v>
      </c>
      <c r="C632" s="1" t="s">
        <v>2268</v>
      </c>
      <c r="D632" s="1" t="s">
        <v>1806</v>
      </c>
      <c r="E632" s="1" t="s">
        <v>2269</v>
      </c>
      <c r="F632" s="1" t="s">
        <v>3469</v>
      </c>
      <c r="G632" s="1" t="s">
        <v>667</v>
      </c>
      <c r="H632" s="1" t="s">
        <v>651</v>
      </c>
      <c r="I632" s="1" t="s">
        <v>652</v>
      </c>
    </row>
    <row r="633" spans="1:9">
      <c r="A633" s="1" t="s">
        <v>1475</v>
      </c>
      <c r="B633" s="1" t="s">
        <v>218</v>
      </c>
      <c r="C633" s="1" t="s">
        <v>1476</v>
      </c>
      <c r="D633" s="1" t="s">
        <v>736</v>
      </c>
      <c r="E633" s="1" t="s">
        <v>1477</v>
      </c>
      <c r="F633" s="1" t="s">
        <v>3469</v>
      </c>
      <c r="G633" s="1" t="s">
        <v>837</v>
      </c>
      <c r="H633" s="1" t="s">
        <v>651</v>
      </c>
    </row>
    <row r="634" spans="1:9">
      <c r="A634" s="1" t="s">
        <v>1931</v>
      </c>
      <c r="B634" s="1" t="s">
        <v>343</v>
      </c>
      <c r="C634" s="1" t="s">
        <v>1476</v>
      </c>
      <c r="D634" s="1" t="s">
        <v>736</v>
      </c>
      <c r="E634" s="1" t="s">
        <v>1932</v>
      </c>
      <c r="F634" s="1" t="s">
        <v>3469</v>
      </c>
      <c r="G634" s="1" t="s">
        <v>680</v>
      </c>
      <c r="H634" s="1" t="s">
        <v>651</v>
      </c>
    </row>
    <row r="635" spans="1:9">
      <c r="A635" s="1" t="s">
        <v>1536</v>
      </c>
      <c r="B635" s="1" t="s">
        <v>234</v>
      </c>
      <c r="C635" s="1" t="s">
        <v>1537</v>
      </c>
      <c r="D635" s="1" t="s">
        <v>665</v>
      </c>
      <c r="E635" s="1" t="s">
        <v>1538</v>
      </c>
      <c r="F635" s="1" t="s">
        <v>3469</v>
      </c>
      <c r="G635" s="1" t="s">
        <v>764</v>
      </c>
      <c r="H635" s="1" t="s">
        <v>651</v>
      </c>
    </row>
    <row r="636" spans="1:9">
      <c r="A636" s="1" t="s">
        <v>1539</v>
      </c>
      <c r="B636" s="1" t="s">
        <v>234</v>
      </c>
      <c r="C636" s="1" t="s">
        <v>1537</v>
      </c>
      <c r="D636" s="1" t="s">
        <v>665</v>
      </c>
      <c r="E636" s="1" t="s">
        <v>1540</v>
      </c>
      <c r="F636" s="1" t="s">
        <v>3469</v>
      </c>
      <c r="G636" s="1" t="s">
        <v>764</v>
      </c>
      <c r="H636" s="1" t="s">
        <v>651</v>
      </c>
    </row>
    <row r="637" spans="1:9">
      <c r="A637" s="1" t="s">
        <v>1541</v>
      </c>
      <c r="B637" s="1" t="s">
        <v>234</v>
      </c>
      <c r="C637" s="1" t="s">
        <v>1537</v>
      </c>
      <c r="D637" s="1" t="s">
        <v>665</v>
      </c>
      <c r="E637" s="1" t="s">
        <v>1542</v>
      </c>
      <c r="F637" s="1" t="s">
        <v>3469</v>
      </c>
      <c r="G637" s="1" t="s">
        <v>764</v>
      </c>
      <c r="H637" s="1" t="s">
        <v>651</v>
      </c>
    </row>
    <row r="638" spans="1:9">
      <c r="A638" s="1" t="s">
        <v>2721</v>
      </c>
      <c r="B638" s="1" t="s">
        <v>558</v>
      </c>
      <c r="C638" s="1" t="s">
        <v>2722</v>
      </c>
      <c r="D638" s="1" t="s">
        <v>2723</v>
      </c>
      <c r="E638" s="1" t="s">
        <v>2724</v>
      </c>
      <c r="F638" s="1" t="s">
        <v>3469</v>
      </c>
      <c r="G638" s="1" t="s">
        <v>2568</v>
      </c>
      <c r="H638" s="1" t="s">
        <v>651</v>
      </c>
    </row>
    <row r="639" spans="1:9">
      <c r="A639" s="1" t="s">
        <v>782</v>
      </c>
      <c r="B639" s="1" t="s">
        <v>31</v>
      </c>
      <c r="C639" s="1" t="s">
        <v>783</v>
      </c>
      <c r="D639" s="1" t="s">
        <v>784</v>
      </c>
      <c r="E639" s="1" t="s">
        <v>785</v>
      </c>
      <c r="F639" s="1" t="s">
        <v>3469</v>
      </c>
      <c r="G639" s="1" t="s">
        <v>667</v>
      </c>
      <c r="H639" s="1" t="s">
        <v>651</v>
      </c>
      <c r="I639" s="1" t="s">
        <v>691</v>
      </c>
    </row>
    <row r="640" spans="1:9">
      <c r="A640" s="1" t="s">
        <v>981</v>
      </c>
      <c r="B640" s="1" t="s">
        <v>83</v>
      </c>
      <c r="C640" s="1" t="s">
        <v>982</v>
      </c>
      <c r="D640" s="1" t="s">
        <v>983</v>
      </c>
      <c r="E640" s="1" t="s">
        <v>984</v>
      </c>
      <c r="F640" s="1" t="s">
        <v>3469</v>
      </c>
      <c r="G640" s="1" t="s">
        <v>657</v>
      </c>
      <c r="H640" s="1" t="s">
        <v>651</v>
      </c>
    </row>
    <row r="641" spans="1:9">
      <c r="A641" s="1" t="s">
        <v>2612</v>
      </c>
      <c r="B641" s="1" t="s">
        <v>529</v>
      </c>
      <c r="C641" s="1" t="s">
        <v>982</v>
      </c>
      <c r="D641" s="1" t="s">
        <v>2613</v>
      </c>
      <c r="E641" s="1" t="s">
        <v>2614</v>
      </c>
      <c r="F641" s="1" t="s">
        <v>3469</v>
      </c>
      <c r="G641" s="1" t="s">
        <v>2238</v>
      </c>
      <c r="H641" s="1" t="s">
        <v>651</v>
      </c>
    </row>
    <row r="642" spans="1:9">
      <c r="A642" s="1" t="s">
        <v>676</v>
      </c>
      <c r="B642" s="1" t="s">
        <v>8</v>
      </c>
      <c r="C642" s="1" t="s">
        <v>677</v>
      </c>
      <c r="D642" s="1" t="s">
        <v>678</v>
      </c>
      <c r="E642" s="1" t="s">
        <v>679</v>
      </c>
      <c r="F642" s="1" t="s">
        <v>3469</v>
      </c>
      <c r="G642" s="1" t="s">
        <v>680</v>
      </c>
      <c r="H642" s="1" t="s">
        <v>651</v>
      </c>
    </row>
    <row r="643" spans="1:9">
      <c r="A643" s="1" t="s">
        <v>921</v>
      </c>
      <c r="B643" s="1" t="s">
        <v>67</v>
      </c>
      <c r="C643" s="1" t="s">
        <v>922</v>
      </c>
      <c r="D643" s="1" t="s">
        <v>923</v>
      </c>
      <c r="E643" s="1" t="s">
        <v>924</v>
      </c>
      <c r="F643" s="1" t="s">
        <v>3469</v>
      </c>
      <c r="G643" s="1" t="s">
        <v>662</v>
      </c>
      <c r="H643" s="1" t="s">
        <v>651</v>
      </c>
      <c r="I643" s="1" t="s">
        <v>691</v>
      </c>
    </row>
    <row r="644" spans="1:9">
      <c r="A644" s="1" t="s">
        <v>1002</v>
      </c>
      <c r="B644" s="1" t="s">
        <v>89</v>
      </c>
      <c r="C644" s="1" t="s">
        <v>1003</v>
      </c>
      <c r="D644" s="1" t="s">
        <v>1004</v>
      </c>
      <c r="E644" s="1" t="s">
        <v>1005</v>
      </c>
      <c r="F644" s="1" t="s">
        <v>3469</v>
      </c>
      <c r="G644" s="1" t="s">
        <v>662</v>
      </c>
      <c r="H644" s="1" t="s">
        <v>651</v>
      </c>
      <c r="I644" s="1" t="s">
        <v>691</v>
      </c>
    </row>
    <row r="645" spans="1:9">
      <c r="A645" s="1" t="s">
        <v>2818</v>
      </c>
      <c r="B645" s="1" t="s">
        <v>583</v>
      </c>
      <c r="C645" s="1" t="s">
        <v>2819</v>
      </c>
      <c r="D645" s="1" t="s">
        <v>2820</v>
      </c>
      <c r="E645" s="1" t="s">
        <v>2821</v>
      </c>
      <c r="F645" s="1" t="s">
        <v>3477</v>
      </c>
      <c r="G645" s="1" t="s">
        <v>2740</v>
      </c>
      <c r="H645" s="1" t="s">
        <v>651</v>
      </c>
      <c r="I645" s="1" t="s">
        <v>691</v>
      </c>
    </row>
    <row r="646" spans="1:9">
      <c r="A646" s="1" t="s">
        <v>2842</v>
      </c>
      <c r="B646" s="1" t="s">
        <v>589</v>
      </c>
      <c r="C646" s="1" t="s">
        <v>2819</v>
      </c>
      <c r="D646" s="1" t="s">
        <v>2820</v>
      </c>
      <c r="E646" s="1" t="s">
        <v>2843</v>
      </c>
      <c r="F646" s="1" t="s">
        <v>3477</v>
      </c>
      <c r="G646" s="1" t="s">
        <v>2740</v>
      </c>
      <c r="H646" s="1" t="s">
        <v>651</v>
      </c>
      <c r="I646" s="1" t="s">
        <v>691</v>
      </c>
    </row>
    <row r="647" spans="1:9">
      <c r="A647" s="1" t="s">
        <v>1573</v>
      </c>
      <c r="B647" s="1" t="s">
        <v>244</v>
      </c>
      <c r="C647" s="1" t="s">
        <v>1574</v>
      </c>
      <c r="D647" s="1" t="s">
        <v>1575</v>
      </c>
      <c r="E647" s="1" t="s">
        <v>1576</v>
      </c>
      <c r="F647" s="1" t="s">
        <v>3469</v>
      </c>
      <c r="G647" s="1" t="s">
        <v>1074</v>
      </c>
      <c r="H647" s="1" t="s">
        <v>651</v>
      </c>
    </row>
    <row r="648" spans="1:9">
      <c r="A648" s="1" t="s">
        <v>1411</v>
      </c>
      <c r="B648" s="1" t="s">
        <v>203</v>
      </c>
      <c r="C648" s="1" t="s">
        <v>1412</v>
      </c>
      <c r="D648" s="1" t="s">
        <v>665</v>
      </c>
      <c r="E648" s="1" t="s">
        <v>1413</v>
      </c>
      <c r="F648" s="1" t="s">
        <v>3469</v>
      </c>
      <c r="G648" s="1" t="s">
        <v>685</v>
      </c>
      <c r="H648" s="1" t="s">
        <v>651</v>
      </c>
    </row>
    <row r="649" spans="1:9">
      <c r="A649" s="1" t="s">
        <v>1642</v>
      </c>
      <c r="B649" s="1" t="s">
        <v>3593</v>
      </c>
      <c r="C649" s="1" t="s">
        <v>3594</v>
      </c>
      <c r="D649" s="1" t="s">
        <v>3026</v>
      </c>
      <c r="E649" s="1" t="s">
        <v>1643</v>
      </c>
      <c r="F649" s="1" t="s">
        <v>3469</v>
      </c>
      <c r="G649" s="1" t="s">
        <v>680</v>
      </c>
      <c r="H649" s="1" t="s">
        <v>651</v>
      </c>
    </row>
    <row r="650" spans="1:9">
      <c r="A650" s="1" t="s">
        <v>1674</v>
      </c>
      <c r="B650" s="1" t="s">
        <v>3593</v>
      </c>
      <c r="C650" s="1" t="s">
        <v>3594</v>
      </c>
      <c r="D650" s="1" t="s">
        <v>3026</v>
      </c>
      <c r="E650" s="1" t="s">
        <v>1675</v>
      </c>
      <c r="F650" s="1" t="s">
        <v>3469</v>
      </c>
      <c r="G650" s="1" t="s">
        <v>680</v>
      </c>
      <c r="H650" s="1" t="s">
        <v>651</v>
      </c>
    </row>
    <row r="651" spans="1:9">
      <c r="A651" s="1" t="s">
        <v>1846</v>
      </c>
      <c r="B651" s="1" t="s">
        <v>320</v>
      </c>
      <c r="C651" s="1" t="s">
        <v>1847</v>
      </c>
      <c r="D651" s="1" t="s">
        <v>1848</v>
      </c>
      <c r="E651" s="1" t="s">
        <v>1849</v>
      </c>
      <c r="F651" s="1" t="s">
        <v>3469</v>
      </c>
      <c r="G651" s="1" t="s">
        <v>680</v>
      </c>
      <c r="H651" s="1" t="s">
        <v>651</v>
      </c>
    </row>
    <row r="652" spans="1:9">
      <c r="A652" s="1" t="s">
        <v>739</v>
      </c>
      <c r="B652" s="1" t="s">
        <v>22</v>
      </c>
      <c r="C652" s="1" t="s">
        <v>740</v>
      </c>
      <c r="D652" s="1" t="s">
        <v>741</v>
      </c>
      <c r="E652" s="1" t="s">
        <v>742</v>
      </c>
      <c r="F652" s="1" t="s">
        <v>3469</v>
      </c>
      <c r="G652" s="1" t="s">
        <v>690</v>
      </c>
      <c r="H652" s="1" t="s">
        <v>651</v>
      </c>
    </row>
    <row r="653" spans="1:9">
      <c r="A653" s="1" t="s">
        <v>2328</v>
      </c>
      <c r="B653" s="1" t="s">
        <v>22</v>
      </c>
      <c r="C653" s="1" t="s">
        <v>740</v>
      </c>
      <c r="D653" s="1" t="s">
        <v>741</v>
      </c>
      <c r="E653" s="1" t="s">
        <v>2329</v>
      </c>
      <c r="F653" s="1" t="s">
        <v>3469</v>
      </c>
      <c r="G653" s="1" t="s">
        <v>690</v>
      </c>
      <c r="H653" s="1" t="s">
        <v>651</v>
      </c>
    </row>
    <row r="654" spans="1:9">
      <c r="A654" s="1" t="s">
        <v>2330</v>
      </c>
      <c r="B654" s="1" t="s">
        <v>449</v>
      </c>
      <c r="C654" s="1" t="s">
        <v>669</v>
      </c>
      <c r="D654" s="1" t="s">
        <v>931</v>
      </c>
      <c r="E654" s="1" t="s">
        <v>2331</v>
      </c>
      <c r="F654" s="1" t="s">
        <v>3469</v>
      </c>
      <c r="G654" s="1" t="s">
        <v>690</v>
      </c>
      <c r="H654" s="1" t="s">
        <v>651</v>
      </c>
    </row>
    <row r="655" spans="1:9">
      <c r="A655" s="1" t="s">
        <v>3009</v>
      </c>
      <c r="B655" s="1" t="s">
        <v>633</v>
      </c>
      <c r="C655" s="1" t="s">
        <v>3010</v>
      </c>
      <c r="D655" s="1" t="s">
        <v>3011</v>
      </c>
      <c r="E655" s="1" t="s">
        <v>3012</v>
      </c>
      <c r="F655" s="1" t="s">
        <v>3520</v>
      </c>
      <c r="G655" s="1" t="s">
        <v>2914</v>
      </c>
      <c r="H655" s="1" t="s">
        <v>651</v>
      </c>
      <c r="I655" s="1" t="s">
        <v>691</v>
      </c>
    </row>
    <row r="656" spans="1:9">
      <c r="A656" s="1" t="s">
        <v>2856</v>
      </c>
      <c r="B656" s="1" t="s">
        <v>593</v>
      </c>
      <c r="C656" s="1" t="s">
        <v>2857</v>
      </c>
      <c r="D656" s="1" t="s">
        <v>2281</v>
      </c>
      <c r="E656" s="1" t="s">
        <v>2858</v>
      </c>
      <c r="F656" s="1" t="s">
        <v>3538</v>
      </c>
      <c r="G656" s="1" t="s">
        <v>2838</v>
      </c>
      <c r="H656" s="1" t="s">
        <v>651</v>
      </c>
      <c r="I656" s="1" t="s">
        <v>691</v>
      </c>
    </row>
    <row r="657" spans="1:9">
      <c r="A657" s="1" t="s">
        <v>929</v>
      </c>
      <c r="B657" s="1" t="s">
        <v>69</v>
      </c>
      <c r="C657" s="1" t="s">
        <v>930</v>
      </c>
      <c r="D657" s="1" t="s">
        <v>931</v>
      </c>
      <c r="E657" s="1" t="s">
        <v>932</v>
      </c>
      <c r="F657" s="1" t="s">
        <v>3469</v>
      </c>
      <c r="G657" s="1" t="s">
        <v>690</v>
      </c>
      <c r="H657" s="1" t="s">
        <v>651</v>
      </c>
      <c r="I657" s="1" t="s">
        <v>691</v>
      </c>
    </row>
    <row r="658" spans="1:9">
      <c r="A658" s="1" t="s">
        <v>1107</v>
      </c>
      <c r="B658" s="1" t="s">
        <v>118</v>
      </c>
      <c r="C658" s="1" t="s">
        <v>1108</v>
      </c>
      <c r="D658" s="1" t="s">
        <v>665</v>
      </c>
      <c r="E658" s="1" t="s">
        <v>1109</v>
      </c>
      <c r="F658" s="1" t="s">
        <v>3469</v>
      </c>
      <c r="G658" s="1" t="s">
        <v>690</v>
      </c>
      <c r="H658" s="1" t="s">
        <v>651</v>
      </c>
    </row>
    <row r="659" spans="1:9">
      <c r="A659" s="1" t="s">
        <v>940</v>
      </c>
      <c r="B659" s="1" t="s">
        <v>72</v>
      </c>
      <c r="C659" s="1" t="s">
        <v>941</v>
      </c>
      <c r="D659" s="1" t="s">
        <v>852</v>
      </c>
      <c r="E659" s="1" t="s">
        <v>942</v>
      </c>
      <c r="F659" s="1" t="s">
        <v>3469</v>
      </c>
      <c r="G659" s="1" t="s">
        <v>690</v>
      </c>
      <c r="H659" s="1" t="s">
        <v>651</v>
      </c>
      <c r="I659" s="1" t="s">
        <v>691</v>
      </c>
    </row>
    <row r="660" spans="1:9">
      <c r="A660" s="1" t="s">
        <v>686</v>
      </c>
      <c r="B660" s="1" t="s">
        <v>10</v>
      </c>
      <c r="C660" s="1" t="s">
        <v>687</v>
      </c>
      <c r="D660" s="1" t="s">
        <v>688</v>
      </c>
      <c r="E660" s="1" t="s">
        <v>689</v>
      </c>
      <c r="F660" s="1" t="s">
        <v>3469</v>
      </c>
      <c r="G660" s="1" t="s">
        <v>690</v>
      </c>
      <c r="H660" s="1" t="s">
        <v>651</v>
      </c>
      <c r="I660" s="1" t="s">
        <v>691</v>
      </c>
    </row>
    <row r="661" spans="1:9">
      <c r="A661" s="1" t="s">
        <v>2345</v>
      </c>
      <c r="B661" s="1" t="s">
        <v>453</v>
      </c>
      <c r="C661" s="1" t="s">
        <v>2346</v>
      </c>
      <c r="D661" s="1" t="s">
        <v>683</v>
      </c>
      <c r="E661" s="1" t="s">
        <v>2347</v>
      </c>
      <c r="F661" s="1" t="s">
        <v>3469</v>
      </c>
      <c r="G661" s="1" t="s">
        <v>667</v>
      </c>
      <c r="H661" s="1" t="s">
        <v>651</v>
      </c>
      <c r="I661" s="1" t="s">
        <v>691</v>
      </c>
    </row>
    <row r="662" spans="1:9">
      <c r="A662" s="1" t="s">
        <v>1502</v>
      </c>
      <c r="B662" s="1" t="s">
        <v>226</v>
      </c>
      <c r="C662" s="1" t="s">
        <v>1503</v>
      </c>
      <c r="D662" s="1" t="s">
        <v>1504</v>
      </c>
      <c r="E662" s="1" t="s">
        <v>1505</v>
      </c>
      <c r="F662" s="1" t="s">
        <v>3469</v>
      </c>
      <c r="G662" s="1" t="s">
        <v>1074</v>
      </c>
      <c r="H662" s="1" t="s">
        <v>651</v>
      </c>
    </row>
    <row r="663" spans="1:9">
      <c r="A663" s="1" t="s">
        <v>1697</v>
      </c>
      <c r="B663" s="1" t="s">
        <v>277</v>
      </c>
      <c r="C663" s="1" t="s">
        <v>1698</v>
      </c>
      <c r="D663" s="1" t="s">
        <v>1080</v>
      </c>
      <c r="E663" s="1" t="s">
        <v>1699</v>
      </c>
      <c r="F663" s="1" t="s">
        <v>3469</v>
      </c>
      <c r="G663" s="1" t="s">
        <v>690</v>
      </c>
      <c r="H663" s="1" t="s">
        <v>651</v>
      </c>
    </row>
    <row r="664" spans="1:9">
      <c r="A664" s="1" t="s">
        <v>1178</v>
      </c>
      <c r="B664" s="1" t="s">
        <v>139</v>
      </c>
      <c r="C664" s="1" t="s">
        <v>1179</v>
      </c>
      <c r="D664" s="1" t="s">
        <v>1180</v>
      </c>
      <c r="E664" s="1" t="s">
        <v>1181</v>
      </c>
      <c r="F664" s="1" t="s">
        <v>3469</v>
      </c>
      <c r="G664" s="1" t="s">
        <v>690</v>
      </c>
      <c r="H664" s="1" t="s">
        <v>651</v>
      </c>
    </row>
    <row r="665" spans="1:9">
      <c r="A665" s="1" t="s">
        <v>974</v>
      </c>
      <c r="B665" s="1" t="s">
        <v>81</v>
      </c>
      <c r="C665" s="1" t="s">
        <v>669</v>
      </c>
      <c r="D665" s="1" t="s">
        <v>975</v>
      </c>
      <c r="E665" s="1" t="s">
        <v>976</v>
      </c>
      <c r="F665" s="1" t="s">
        <v>3469</v>
      </c>
      <c r="G665" s="1" t="s">
        <v>680</v>
      </c>
      <c r="H665" s="1" t="s">
        <v>651</v>
      </c>
      <c r="I665" s="1" t="s">
        <v>652</v>
      </c>
    </row>
    <row r="666" spans="1:9">
      <c r="A666" s="1" t="s">
        <v>1610</v>
      </c>
      <c r="B666" s="1" t="s">
        <v>254</v>
      </c>
      <c r="C666" s="1" t="s">
        <v>1611</v>
      </c>
      <c r="D666" s="1" t="s">
        <v>1080</v>
      </c>
      <c r="E666" s="1" t="s">
        <v>1612</v>
      </c>
      <c r="F666" s="1" t="s">
        <v>3469</v>
      </c>
      <c r="G666" s="1" t="s">
        <v>1074</v>
      </c>
      <c r="H666" s="1" t="s">
        <v>651</v>
      </c>
    </row>
    <row r="667" spans="1:9">
      <c r="A667" s="1" t="s">
        <v>1209</v>
      </c>
      <c r="B667" s="1" t="s">
        <v>148</v>
      </c>
      <c r="C667" s="1" t="s">
        <v>669</v>
      </c>
      <c r="D667" s="1" t="s">
        <v>1210</v>
      </c>
      <c r="E667" s="1" t="s">
        <v>1211</v>
      </c>
      <c r="F667" s="1" t="s">
        <v>3469</v>
      </c>
      <c r="G667" s="1" t="s">
        <v>802</v>
      </c>
      <c r="H667" s="1" t="s">
        <v>651</v>
      </c>
    </row>
    <row r="668" spans="1:9">
      <c r="A668" s="1" t="s">
        <v>1212</v>
      </c>
      <c r="B668" s="1" t="s">
        <v>149</v>
      </c>
      <c r="C668" s="1" t="s">
        <v>1213</v>
      </c>
      <c r="D668" s="1" t="s">
        <v>771</v>
      </c>
      <c r="E668" s="1" t="s">
        <v>1214</v>
      </c>
      <c r="F668" s="1" t="s">
        <v>3469</v>
      </c>
      <c r="G668" s="1" t="s">
        <v>777</v>
      </c>
      <c r="H668" s="1" t="s">
        <v>651</v>
      </c>
      <c r="I668" s="1" t="s">
        <v>691</v>
      </c>
    </row>
    <row r="669" spans="1:9">
      <c r="A669" s="1" t="s">
        <v>2560</v>
      </c>
      <c r="B669" s="1" t="s">
        <v>516</v>
      </c>
      <c r="C669" s="1" t="s">
        <v>2561</v>
      </c>
      <c r="D669" s="1" t="s">
        <v>809</v>
      </c>
      <c r="E669" s="1" t="s">
        <v>2562</v>
      </c>
      <c r="F669" s="1" t="s">
        <v>3542</v>
      </c>
      <c r="G669" s="1" t="s">
        <v>2543</v>
      </c>
      <c r="H669" s="1" t="s">
        <v>651</v>
      </c>
      <c r="I669" s="1" t="s">
        <v>2563</v>
      </c>
    </row>
    <row r="670" spans="1:9">
      <c r="A670" s="1" t="s">
        <v>2179</v>
      </c>
      <c r="B670" s="1" t="s">
        <v>413</v>
      </c>
      <c r="C670" s="1" t="s">
        <v>2180</v>
      </c>
      <c r="D670" s="1" t="s">
        <v>688</v>
      </c>
      <c r="E670" s="1" t="s">
        <v>2181</v>
      </c>
      <c r="F670" s="1" t="s">
        <v>3469</v>
      </c>
      <c r="G670" s="1" t="s">
        <v>667</v>
      </c>
      <c r="H670" s="1" t="s">
        <v>651</v>
      </c>
      <c r="I670" s="1" t="s">
        <v>691</v>
      </c>
    </row>
    <row r="671" spans="1:9">
      <c r="A671" s="1" t="s">
        <v>1148</v>
      </c>
      <c r="B671" s="1" t="s">
        <v>130</v>
      </c>
      <c r="C671" s="1" t="s">
        <v>1149</v>
      </c>
      <c r="D671" s="1" t="s">
        <v>1150</v>
      </c>
      <c r="E671" s="1" t="s">
        <v>1151</v>
      </c>
      <c r="F671" s="1" t="s">
        <v>3469</v>
      </c>
      <c r="G671" s="1" t="s">
        <v>662</v>
      </c>
      <c r="H671" s="1" t="s">
        <v>651</v>
      </c>
      <c r="I671" s="1" t="s">
        <v>691</v>
      </c>
    </row>
    <row r="672" spans="1:9">
      <c r="A672" s="1" t="s">
        <v>2337</v>
      </c>
      <c r="B672" s="1" t="s">
        <v>451</v>
      </c>
      <c r="C672" s="1" t="s">
        <v>2338</v>
      </c>
      <c r="D672" s="1" t="s">
        <v>945</v>
      </c>
      <c r="E672" s="1" t="s">
        <v>2339</v>
      </c>
      <c r="F672" s="1" t="s">
        <v>3469</v>
      </c>
      <c r="G672" s="1" t="s">
        <v>690</v>
      </c>
      <c r="H672" s="1" t="s">
        <v>651</v>
      </c>
    </row>
    <row r="673" spans="1:9">
      <c r="A673" s="1" t="s">
        <v>2060</v>
      </c>
      <c r="B673" s="1" t="s">
        <v>377</v>
      </c>
      <c r="C673" s="1" t="s">
        <v>2061</v>
      </c>
      <c r="D673" s="1" t="s">
        <v>719</v>
      </c>
      <c r="E673" s="1" t="s">
        <v>2062</v>
      </c>
      <c r="F673" s="1" t="s">
        <v>3469</v>
      </c>
      <c r="G673" s="1" t="s">
        <v>1074</v>
      </c>
      <c r="H673" s="1" t="s">
        <v>651</v>
      </c>
      <c r="I673" s="1" t="s">
        <v>691</v>
      </c>
    </row>
    <row r="674" spans="1:9">
      <c r="A674" s="1" t="s">
        <v>1431</v>
      </c>
      <c r="B674" s="1" t="s">
        <v>209</v>
      </c>
      <c r="C674" s="1" t="s">
        <v>1432</v>
      </c>
      <c r="D674" s="1" t="s">
        <v>1433</v>
      </c>
      <c r="E674" s="1" t="s">
        <v>1434</v>
      </c>
      <c r="F674" s="1" t="s">
        <v>3469</v>
      </c>
      <c r="G674" s="1" t="s">
        <v>667</v>
      </c>
      <c r="H674" s="1" t="s">
        <v>651</v>
      </c>
      <c r="I674" s="1" t="s">
        <v>691</v>
      </c>
    </row>
    <row r="675" spans="1:9">
      <c r="A675" s="1" t="s">
        <v>769</v>
      </c>
      <c r="B675" s="1" t="s">
        <v>28</v>
      </c>
      <c r="C675" s="1" t="s">
        <v>770</v>
      </c>
      <c r="D675" s="1" t="s">
        <v>771</v>
      </c>
      <c r="E675" s="1" t="s">
        <v>772</v>
      </c>
      <c r="F675" s="1" t="s">
        <v>3469</v>
      </c>
      <c r="G675" s="1" t="s">
        <v>662</v>
      </c>
      <c r="H675" s="1" t="s">
        <v>651</v>
      </c>
    </row>
    <row r="676" spans="1:9">
      <c r="A676" s="1" t="s">
        <v>2426</v>
      </c>
      <c r="B676" s="1" t="s">
        <v>478</v>
      </c>
      <c r="C676" s="1" t="s">
        <v>2427</v>
      </c>
      <c r="D676" s="1" t="s">
        <v>1169</v>
      </c>
      <c r="E676" s="1" t="s">
        <v>2428</v>
      </c>
      <c r="F676" s="1" t="s">
        <v>3469</v>
      </c>
      <c r="G676" s="1" t="s">
        <v>777</v>
      </c>
      <c r="H676" s="1" t="s">
        <v>651</v>
      </c>
    </row>
    <row r="677" spans="1:9">
      <c r="A677" s="1" t="s">
        <v>2351</v>
      </c>
      <c r="B677" s="1" t="s">
        <v>455</v>
      </c>
      <c r="C677" s="1" t="s">
        <v>2352</v>
      </c>
      <c r="D677" s="1" t="s">
        <v>665</v>
      </c>
      <c r="E677" s="1" t="s">
        <v>2353</v>
      </c>
      <c r="F677" s="1" t="s">
        <v>3469</v>
      </c>
      <c r="G677" s="1" t="s">
        <v>690</v>
      </c>
      <c r="H677" s="1" t="s">
        <v>651</v>
      </c>
      <c r="I677" s="1" t="s">
        <v>691</v>
      </c>
    </row>
    <row r="678" spans="1:9">
      <c r="A678" s="1" t="s">
        <v>1215</v>
      </c>
      <c r="B678" s="1" t="s">
        <v>150</v>
      </c>
      <c r="C678" s="1" t="s">
        <v>1216</v>
      </c>
      <c r="D678" s="1" t="s">
        <v>1217</v>
      </c>
      <c r="E678" s="1" t="s">
        <v>1218</v>
      </c>
      <c r="F678" s="1" t="s">
        <v>3469</v>
      </c>
      <c r="G678" s="1" t="s">
        <v>657</v>
      </c>
      <c r="H678" s="1" t="s">
        <v>651</v>
      </c>
      <c r="I678" s="1" t="s">
        <v>691</v>
      </c>
    </row>
    <row r="679" spans="1:9">
      <c r="A679" s="1" t="s">
        <v>2348</v>
      </c>
      <c r="B679" s="1" t="s">
        <v>454</v>
      </c>
      <c r="C679" s="1" t="s">
        <v>2349</v>
      </c>
      <c r="D679" s="1" t="s">
        <v>688</v>
      </c>
      <c r="E679" s="1" t="s">
        <v>2350</v>
      </c>
      <c r="F679" s="1" t="s">
        <v>3469</v>
      </c>
      <c r="G679" s="1" t="s">
        <v>690</v>
      </c>
      <c r="H679" s="1" t="s">
        <v>651</v>
      </c>
      <c r="I679" s="1" t="s">
        <v>691</v>
      </c>
    </row>
    <row r="680" spans="1:9">
      <c r="A680" s="1" t="s">
        <v>1854</v>
      </c>
      <c r="B680" s="1" t="s">
        <v>322</v>
      </c>
      <c r="C680" s="1" t="s">
        <v>1855</v>
      </c>
      <c r="D680" s="1" t="s">
        <v>1856</v>
      </c>
      <c r="E680" s="1" t="s">
        <v>1857</v>
      </c>
      <c r="F680" s="1" t="s">
        <v>3469</v>
      </c>
      <c r="G680" s="1" t="s">
        <v>650</v>
      </c>
      <c r="H680" s="1" t="s">
        <v>651</v>
      </c>
    </row>
    <row r="681" spans="1:9">
      <c r="A681" s="1" t="s">
        <v>794</v>
      </c>
      <c r="B681" s="1" t="s">
        <v>34</v>
      </c>
      <c r="C681" s="1" t="s">
        <v>795</v>
      </c>
      <c r="D681" s="1" t="s">
        <v>796</v>
      </c>
      <c r="E681" s="1" t="s">
        <v>797</v>
      </c>
      <c r="F681" s="1" t="s">
        <v>3469</v>
      </c>
      <c r="G681" s="1" t="s">
        <v>690</v>
      </c>
      <c r="H681" s="1" t="s">
        <v>651</v>
      </c>
      <c r="I681" s="1" t="s">
        <v>652</v>
      </c>
    </row>
    <row r="682" spans="1:9">
      <c r="A682" s="1" t="s">
        <v>1113</v>
      </c>
      <c r="B682" s="1" t="s">
        <v>120</v>
      </c>
      <c r="C682" s="1" t="s">
        <v>1114</v>
      </c>
      <c r="D682" s="1" t="s">
        <v>771</v>
      </c>
      <c r="E682" s="1" t="s">
        <v>1115</v>
      </c>
      <c r="F682" s="1" t="s">
        <v>3469</v>
      </c>
      <c r="G682" s="1" t="s">
        <v>667</v>
      </c>
      <c r="H682" s="1" t="s">
        <v>651</v>
      </c>
    </row>
    <row r="683" spans="1:9">
      <c r="A683" s="1" t="s">
        <v>1562</v>
      </c>
      <c r="B683" s="1" t="s">
        <v>241</v>
      </c>
      <c r="C683" s="1" t="s">
        <v>960</v>
      </c>
      <c r="D683" s="1" t="s">
        <v>961</v>
      </c>
      <c r="E683" s="1" t="s">
        <v>1563</v>
      </c>
      <c r="F683" s="1" t="s">
        <v>3469</v>
      </c>
      <c r="G683" s="1" t="s">
        <v>680</v>
      </c>
      <c r="H683" s="1" t="s">
        <v>651</v>
      </c>
      <c r="I683" s="1" t="s">
        <v>691</v>
      </c>
    </row>
    <row r="684" spans="1:9">
      <c r="A684" s="1" t="s">
        <v>959</v>
      </c>
      <c r="B684" s="1" t="s">
        <v>77</v>
      </c>
      <c r="C684" s="1" t="s">
        <v>960</v>
      </c>
      <c r="D684" s="1" t="s">
        <v>961</v>
      </c>
      <c r="E684" s="1" t="s">
        <v>962</v>
      </c>
      <c r="F684" s="1" t="s">
        <v>3469</v>
      </c>
      <c r="G684" s="1" t="s">
        <v>690</v>
      </c>
      <c r="H684" s="1" t="s">
        <v>651</v>
      </c>
      <c r="I684" s="1" t="s">
        <v>652</v>
      </c>
    </row>
    <row r="685" spans="1:9">
      <c r="A685" s="1" t="s">
        <v>1110</v>
      </c>
      <c r="B685" s="1" t="s">
        <v>119</v>
      </c>
      <c r="C685" s="1" t="s">
        <v>1111</v>
      </c>
      <c r="D685" s="1" t="s">
        <v>961</v>
      </c>
      <c r="E685" s="1" t="s">
        <v>1112</v>
      </c>
      <c r="F685" s="1" t="s">
        <v>3469</v>
      </c>
      <c r="G685" s="1" t="s">
        <v>777</v>
      </c>
      <c r="H685" s="1" t="s">
        <v>651</v>
      </c>
      <c r="I685" s="1" t="s">
        <v>691</v>
      </c>
    </row>
    <row r="686" spans="1:9">
      <c r="A686" s="1" t="s">
        <v>2987</v>
      </c>
      <c r="B686" s="1" t="s">
        <v>627</v>
      </c>
      <c r="C686" s="1" t="s">
        <v>2988</v>
      </c>
      <c r="D686" s="1" t="s">
        <v>2434</v>
      </c>
      <c r="E686" s="1" t="s">
        <v>2989</v>
      </c>
      <c r="F686" s="1" t="s">
        <v>3496</v>
      </c>
      <c r="G686" s="1" t="s">
        <v>2238</v>
      </c>
      <c r="H686" s="1" t="s">
        <v>651</v>
      </c>
    </row>
    <row r="687" spans="1:9">
      <c r="A687" s="1" t="s">
        <v>2489</v>
      </c>
      <c r="B687" s="1" t="s">
        <v>495</v>
      </c>
      <c r="C687" s="1" t="s">
        <v>2490</v>
      </c>
      <c r="D687" s="1" t="s">
        <v>2434</v>
      </c>
      <c r="E687" s="1" t="s">
        <v>2491</v>
      </c>
      <c r="F687" s="1" t="s">
        <v>3541</v>
      </c>
      <c r="G687" s="1" t="s">
        <v>2436</v>
      </c>
      <c r="H687" s="1" t="s">
        <v>651</v>
      </c>
      <c r="I687" s="1" t="s">
        <v>691</v>
      </c>
    </row>
    <row r="688" spans="1:9">
      <c r="A688" s="1" t="s">
        <v>1606</v>
      </c>
      <c r="B688" s="1" t="s">
        <v>253</v>
      </c>
      <c r="C688" s="1" t="s">
        <v>1607</v>
      </c>
      <c r="D688" s="1" t="s">
        <v>1608</v>
      </c>
      <c r="E688" s="1" t="s">
        <v>1609</v>
      </c>
      <c r="F688" s="1" t="s">
        <v>3469</v>
      </c>
      <c r="G688" s="1" t="s">
        <v>650</v>
      </c>
      <c r="H688" s="1" t="s">
        <v>651</v>
      </c>
    </row>
    <row r="689" spans="1:9">
      <c r="A689" s="1" t="s">
        <v>2634</v>
      </c>
      <c r="B689" s="1" t="s">
        <v>535</v>
      </c>
      <c r="C689" s="1" t="s">
        <v>2635</v>
      </c>
      <c r="D689" s="1" t="s">
        <v>688</v>
      </c>
      <c r="E689" s="1" t="s">
        <v>2636</v>
      </c>
      <c r="F689" s="1" t="s">
        <v>3473</v>
      </c>
      <c r="G689" s="1" t="s">
        <v>2543</v>
      </c>
      <c r="H689" s="1" t="s">
        <v>651</v>
      </c>
      <c r="I689" s="1" t="s">
        <v>691</v>
      </c>
    </row>
    <row r="690" spans="1:9">
      <c r="A690" s="1" t="s">
        <v>1139</v>
      </c>
      <c r="B690" s="1" t="s">
        <v>127</v>
      </c>
      <c r="C690" s="1" t="s">
        <v>1140</v>
      </c>
      <c r="D690" s="1" t="s">
        <v>852</v>
      </c>
      <c r="E690" s="1" t="s">
        <v>1141</v>
      </c>
      <c r="F690" s="1" t="s">
        <v>3469</v>
      </c>
      <c r="G690" s="1" t="s">
        <v>690</v>
      </c>
      <c r="H690" s="1" t="s">
        <v>651</v>
      </c>
      <c r="I690" s="1" t="s">
        <v>691</v>
      </c>
    </row>
    <row r="691" spans="1:9">
      <c r="A691" s="1" t="s">
        <v>1935</v>
      </c>
      <c r="B691" s="1" t="s">
        <v>345</v>
      </c>
      <c r="C691" s="1" t="s">
        <v>1936</v>
      </c>
      <c r="D691" s="1" t="s">
        <v>1937</v>
      </c>
      <c r="E691" s="1" t="s">
        <v>1938</v>
      </c>
      <c r="F691" s="1" t="s">
        <v>3469</v>
      </c>
      <c r="G691" s="1" t="s">
        <v>837</v>
      </c>
      <c r="H691" s="1" t="s">
        <v>651</v>
      </c>
    </row>
    <row r="692" spans="1:9">
      <c r="A692" s="1" t="s">
        <v>2373</v>
      </c>
      <c r="B692" s="1" t="s">
        <v>462</v>
      </c>
      <c r="C692" s="1" t="s">
        <v>2374</v>
      </c>
      <c r="D692" s="1" t="s">
        <v>2375</v>
      </c>
      <c r="E692" s="1" t="s">
        <v>2376</v>
      </c>
      <c r="F692" s="1" t="s">
        <v>3469</v>
      </c>
      <c r="G692" s="1" t="s">
        <v>657</v>
      </c>
      <c r="H692" s="1" t="s">
        <v>651</v>
      </c>
      <c r="I692" s="1" t="s">
        <v>691</v>
      </c>
    </row>
    <row r="693" spans="1:9">
      <c r="A693" s="1" t="s">
        <v>2556</v>
      </c>
      <c r="B693" s="1" t="s">
        <v>515</v>
      </c>
      <c r="C693" s="1" t="s">
        <v>2557</v>
      </c>
      <c r="D693" s="1" t="s">
        <v>2558</v>
      </c>
      <c r="E693" s="1" t="s">
        <v>2559</v>
      </c>
      <c r="F693" s="1" t="s">
        <v>3542</v>
      </c>
      <c r="G693" s="1" t="s">
        <v>2543</v>
      </c>
      <c r="H693" s="1" t="s">
        <v>651</v>
      </c>
      <c r="I693" s="1" t="s">
        <v>2458</v>
      </c>
    </row>
    <row r="694" spans="1:9">
      <c r="A694" s="1" t="s">
        <v>846</v>
      </c>
      <c r="B694" s="1" t="s">
        <v>47</v>
      </c>
      <c r="C694" s="1" t="s">
        <v>847</v>
      </c>
      <c r="D694" s="1" t="s">
        <v>848</v>
      </c>
      <c r="E694" s="1" t="s">
        <v>849</v>
      </c>
      <c r="F694" s="1" t="s">
        <v>3469</v>
      </c>
      <c r="G694" s="1" t="s">
        <v>662</v>
      </c>
      <c r="H694" s="1" t="s">
        <v>651</v>
      </c>
      <c r="I694" s="1" t="s">
        <v>652</v>
      </c>
    </row>
    <row r="695" spans="1:9">
      <c r="A695" s="1" t="s">
        <v>2071</v>
      </c>
      <c r="B695" s="1" t="s">
        <v>380</v>
      </c>
      <c r="C695" s="1" t="s">
        <v>2072</v>
      </c>
      <c r="D695" s="1" t="s">
        <v>927</v>
      </c>
      <c r="E695" s="1" t="s">
        <v>2073</v>
      </c>
      <c r="F695" s="1" t="s">
        <v>3469</v>
      </c>
      <c r="G695" s="1" t="s">
        <v>680</v>
      </c>
      <c r="H695" s="1" t="s">
        <v>651</v>
      </c>
      <c r="I695" s="1" t="s">
        <v>691</v>
      </c>
    </row>
    <row r="696" spans="1:9">
      <c r="A696" s="1" t="s">
        <v>1982</v>
      </c>
      <c r="B696" s="1" t="s">
        <v>357</v>
      </c>
      <c r="C696" s="1" t="s">
        <v>1983</v>
      </c>
      <c r="D696" s="1" t="s">
        <v>771</v>
      </c>
      <c r="E696" s="1" t="s">
        <v>1984</v>
      </c>
      <c r="F696" s="1" t="s">
        <v>3469</v>
      </c>
      <c r="G696" s="1" t="s">
        <v>680</v>
      </c>
      <c r="H696" s="1" t="s">
        <v>651</v>
      </c>
    </row>
    <row r="697" spans="1:9">
      <c r="A697" s="1" t="s">
        <v>826</v>
      </c>
      <c r="B697" s="1" t="s">
        <v>42</v>
      </c>
      <c r="C697" s="1" t="s">
        <v>827</v>
      </c>
      <c r="D697" s="1" t="s">
        <v>828</v>
      </c>
      <c r="E697" s="1" t="s">
        <v>829</v>
      </c>
      <c r="F697" s="1" t="s">
        <v>3469</v>
      </c>
      <c r="G697" s="1" t="s">
        <v>777</v>
      </c>
      <c r="H697" s="1" t="s">
        <v>651</v>
      </c>
    </row>
    <row r="698" spans="1:9">
      <c r="A698" s="1" t="s">
        <v>1272</v>
      </c>
      <c r="B698" s="1" t="s">
        <v>165</v>
      </c>
      <c r="C698" s="1" t="s">
        <v>1273</v>
      </c>
      <c r="D698" s="1" t="s">
        <v>1274</v>
      </c>
      <c r="E698" s="1" t="s">
        <v>1275</v>
      </c>
      <c r="F698" s="1" t="s">
        <v>3469</v>
      </c>
      <c r="G698" s="1" t="s">
        <v>738</v>
      </c>
      <c r="H698" s="1" t="s">
        <v>651</v>
      </c>
    </row>
    <row r="699" spans="1:9">
      <c r="A699" s="1" t="s">
        <v>1381</v>
      </c>
      <c r="B699" s="1" t="s">
        <v>195</v>
      </c>
      <c r="C699" s="1" t="s">
        <v>1382</v>
      </c>
      <c r="D699" s="1" t="s">
        <v>1383</v>
      </c>
      <c r="E699" s="1" t="s">
        <v>1384</v>
      </c>
      <c r="F699" s="1" t="s">
        <v>3469</v>
      </c>
      <c r="G699" s="1" t="s">
        <v>704</v>
      </c>
      <c r="H699" s="1" t="s">
        <v>651</v>
      </c>
    </row>
    <row r="700" spans="1:9">
      <c r="A700" s="1" t="s">
        <v>2370</v>
      </c>
      <c r="B700" s="1" t="s">
        <v>461</v>
      </c>
      <c r="C700" s="1" t="s">
        <v>2371</v>
      </c>
      <c r="D700" s="1" t="s">
        <v>736</v>
      </c>
      <c r="E700" s="1" t="s">
        <v>2372</v>
      </c>
      <c r="F700" s="1" t="s">
        <v>3469</v>
      </c>
      <c r="G700" s="1" t="s">
        <v>657</v>
      </c>
      <c r="H700" s="1" t="s">
        <v>651</v>
      </c>
      <c r="I700" s="1" t="s">
        <v>691</v>
      </c>
    </row>
    <row r="701" spans="1:9">
      <c r="A701" s="1" t="s">
        <v>1868</v>
      </c>
      <c r="B701" s="1" t="s">
        <v>326</v>
      </c>
      <c r="C701" s="1" t="s">
        <v>1869</v>
      </c>
      <c r="D701" s="1" t="s">
        <v>1406</v>
      </c>
      <c r="E701" s="1" t="s">
        <v>1870</v>
      </c>
      <c r="F701" s="1" t="s">
        <v>3469</v>
      </c>
      <c r="G701" s="1" t="s">
        <v>680</v>
      </c>
      <c r="H701" s="1" t="s">
        <v>651</v>
      </c>
    </row>
    <row r="702" spans="1:9">
      <c r="A702" s="1" t="s">
        <v>1231</v>
      </c>
      <c r="B702" s="1" t="s">
        <v>154</v>
      </c>
      <c r="C702" s="1" t="s">
        <v>1232</v>
      </c>
      <c r="D702" s="1" t="s">
        <v>1233</v>
      </c>
      <c r="E702" s="1" t="s">
        <v>1234</v>
      </c>
      <c r="F702" s="1" t="s">
        <v>3469</v>
      </c>
      <c r="G702" s="1" t="s">
        <v>690</v>
      </c>
      <c r="H702" s="1" t="s">
        <v>651</v>
      </c>
    </row>
    <row r="703" spans="1:9">
      <c r="A703" s="1" t="s">
        <v>1050</v>
      </c>
      <c r="B703" s="1" t="s">
        <v>102</v>
      </c>
      <c r="C703" s="1" t="s">
        <v>1051</v>
      </c>
      <c r="D703" s="1" t="s">
        <v>852</v>
      </c>
      <c r="E703" s="1" t="s">
        <v>1052</v>
      </c>
      <c r="F703" s="1" t="s">
        <v>3469</v>
      </c>
      <c r="G703" s="1" t="s">
        <v>690</v>
      </c>
      <c r="H703" s="1" t="s">
        <v>651</v>
      </c>
      <c r="I703" s="1" t="s">
        <v>691</v>
      </c>
    </row>
    <row r="704" spans="1:9">
      <c r="A704" s="1" t="s">
        <v>2548</v>
      </c>
      <c r="B704" s="1" t="s">
        <v>513</v>
      </c>
      <c r="C704" s="1" t="s">
        <v>2549</v>
      </c>
      <c r="D704" s="1" t="s">
        <v>2550</v>
      </c>
      <c r="E704" s="1" t="s">
        <v>2551</v>
      </c>
      <c r="F704" s="1" t="s">
        <v>3542</v>
      </c>
      <c r="G704" s="1" t="s">
        <v>2543</v>
      </c>
      <c r="H704" s="1" t="s">
        <v>651</v>
      </c>
      <c r="I704" s="1" t="s">
        <v>2458</v>
      </c>
    </row>
    <row r="705" spans="1:9">
      <c r="A705" s="1" t="s">
        <v>1954</v>
      </c>
      <c r="B705" s="1" t="s">
        <v>349</v>
      </c>
      <c r="C705" s="1" t="s">
        <v>1955</v>
      </c>
      <c r="D705" s="1" t="s">
        <v>1080</v>
      </c>
      <c r="E705" s="1" t="s">
        <v>1956</v>
      </c>
      <c r="F705" s="1" t="s">
        <v>3469</v>
      </c>
      <c r="G705" s="1" t="s">
        <v>680</v>
      </c>
      <c r="H705" s="1" t="s">
        <v>651</v>
      </c>
    </row>
    <row r="706" spans="1:9">
      <c r="A706" s="1" t="s">
        <v>2354</v>
      </c>
      <c r="B706" s="1" t="s">
        <v>456</v>
      </c>
      <c r="C706" s="1" t="s">
        <v>1869</v>
      </c>
      <c r="D706" s="1" t="s">
        <v>1406</v>
      </c>
      <c r="E706" s="1" t="s">
        <v>2355</v>
      </c>
      <c r="F706" s="1" t="s">
        <v>3469</v>
      </c>
      <c r="G706" s="1" t="s">
        <v>690</v>
      </c>
      <c r="H706" s="1" t="s">
        <v>651</v>
      </c>
      <c r="I706" s="1" t="s">
        <v>691</v>
      </c>
    </row>
    <row r="707" spans="1:9">
      <c r="A707" s="1" t="s">
        <v>2397</v>
      </c>
      <c r="B707" s="1" t="s">
        <v>469</v>
      </c>
      <c r="C707" s="1" t="s">
        <v>2398</v>
      </c>
      <c r="D707" s="1" t="s">
        <v>678</v>
      </c>
      <c r="E707" s="1" t="s">
        <v>2399</v>
      </c>
      <c r="F707" s="1" t="s">
        <v>3469</v>
      </c>
      <c r="G707" s="1" t="s">
        <v>837</v>
      </c>
      <c r="H707" s="1" t="s">
        <v>651</v>
      </c>
    </row>
    <row r="708" spans="1:9">
      <c r="A708" s="1" t="s">
        <v>1235</v>
      </c>
      <c r="B708" s="1" t="s">
        <v>155</v>
      </c>
      <c r="C708" s="1" t="s">
        <v>1236</v>
      </c>
      <c r="D708" s="1" t="s">
        <v>665</v>
      </c>
      <c r="E708" s="1" t="s">
        <v>1237</v>
      </c>
      <c r="F708" s="1" t="s">
        <v>3469</v>
      </c>
      <c r="G708" s="1" t="s">
        <v>667</v>
      </c>
      <c r="H708" s="1" t="s">
        <v>651</v>
      </c>
      <c r="I708" s="1" t="s">
        <v>691</v>
      </c>
    </row>
    <row r="709" spans="1:9">
      <c r="A709" s="1" t="s">
        <v>2381</v>
      </c>
      <c r="B709" s="1" t="s">
        <v>464</v>
      </c>
      <c r="C709" s="1" t="s">
        <v>1236</v>
      </c>
      <c r="D709" s="1" t="s">
        <v>665</v>
      </c>
      <c r="E709" s="1" t="s">
        <v>2382</v>
      </c>
      <c r="F709" s="1" t="s">
        <v>3595</v>
      </c>
      <c r="G709" s="1" t="s">
        <v>690</v>
      </c>
      <c r="H709" s="1" t="s">
        <v>651</v>
      </c>
      <c r="I709" s="1" t="s">
        <v>2380</v>
      </c>
    </row>
    <row r="710" spans="1:9">
      <c r="A710" s="1" t="s">
        <v>1096</v>
      </c>
      <c r="B710" s="1" t="s">
        <v>115</v>
      </c>
      <c r="C710" s="1" t="s">
        <v>1097</v>
      </c>
      <c r="D710" s="1" t="s">
        <v>1080</v>
      </c>
      <c r="E710" s="1" t="s">
        <v>1098</v>
      </c>
      <c r="F710" s="1" t="s">
        <v>3469</v>
      </c>
      <c r="G710" s="1" t="s">
        <v>667</v>
      </c>
      <c r="H710" s="1" t="s">
        <v>651</v>
      </c>
      <c r="I710" s="1" t="s">
        <v>652</v>
      </c>
    </row>
    <row r="711" spans="1:9">
      <c r="A711" s="1" t="s">
        <v>1679</v>
      </c>
      <c r="B711" s="1" t="s">
        <v>272</v>
      </c>
      <c r="C711" s="1" t="s">
        <v>1680</v>
      </c>
      <c r="D711" s="1" t="s">
        <v>1681</v>
      </c>
      <c r="E711" s="1" t="s">
        <v>1682</v>
      </c>
      <c r="F711" s="1" t="s">
        <v>3469</v>
      </c>
      <c r="G711" s="1" t="s">
        <v>680</v>
      </c>
      <c r="H711" s="1" t="s">
        <v>651</v>
      </c>
    </row>
    <row r="712" spans="1:9">
      <c r="A712" s="1" t="s">
        <v>1036</v>
      </c>
      <c r="B712" s="1" t="s">
        <v>98</v>
      </c>
      <c r="C712" s="1" t="s">
        <v>1037</v>
      </c>
      <c r="D712" s="1" t="s">
        <v>655</v>
      </c>
      <c r="E712" s="1" t="s">
        <v>1038</v>
      </c>
      <c r="F712" s="1" t="s">
        <v>3469</v>
      </c>
      <c r="G712" s="1" t="s">
        <v>667</v>
      </c>
      <c r="H712" s="1" t="s">
        <v>651</v>
      </c>
    </row>
    <row r="713" spans="1:9">
      <c r="A713" s="1" t="s">
        <v>2265</v>
      </c>
      <c r="B713" s="1" t="s">
        <v>98</v>
      </c>
      <c r="C713" s="1" t="s">
        <v>1037</v>
      </c>
      <c r="D713" s="1" t="s">
        <v>655</v>
      </c>
      <c r="E713" s="1" t="s">
        <v>2266</v>
      </c>
      <c r="F713" s="1" t="s">
        <v>3469</v>
      </c>
      <c r="G713" s="1" t="s">
        <v>667</v>
      </c>
      <c r="H713" s="1" t="s">
        <v>651</v>
      </c>
    </row>
    <row r="714" spans="1:9">
      <c r="A714" s="1" t="s">
        <v>790</v>
      </c>
      <c r="B714" s="1" t="s">
        <v>33</v>
      </c>
      <c r="C714" s="1" t="s">
        <v>791</v>
      </c>
      <c r="D714" s="1" t="s">
        <v>792</v>
      </c>
      <c r="E714" s="1" t="s">
        <v>793</v>
      </c>
      <c r="F714" s="1" t="s">
        <v>3469</v>
      </c>
      <c r="G714" s="1" t="s">
        <v>690</v>
      </c>
      <c r="H714" s="1" t="s">
        <v>651</v>
      </c>
    </row>
    <row r="715" spans="1:9">
      <c r="A715" s="1" t="s">
        <v>2275</v>
      </c>
      <c r="B715" s="1" t="s">
        <v>33</v>
      </c>
      <c r="C715" s="1" t="s">
        <v>791</v>
      </c>
      <c r="D715" s="1" t="s">
        <v>792</v>
      </c>
      <c r="E715" s="1" t="s">
        <v>2276</v>
      </c>
      <c r="F715" s="1" t="s">
        <v>3469</v>
      </c>
      <c r="G715" s="1" t="s">
        <v>690</v>
      </c>
      <c r="H715" s="1" t="s">
        <v>651</v>
      </c>
    </row>
    <row r="716" spans="1:9">
      <c r="A716" s="1" t="s">
        <v>2834</v>
      </c>
      <c r="B716" s="1" t="s">
        <v>587</v>
      </c>
      <c r="C716" s="1" t="s">
        <v>2835</v>
      </c>
      <c r="D716" s="1" t="s">
        <v>2836</v>
      </c>
      <c r="E716" s="1" t="s">
        <v>2837</v>
      </c>
      <c r="F716" s="1" t="s">
        <v>3477</v>
      </c>
      <c r="G716" s="1" t="s">
        <v>2838</v>
      </c>
      <c r="H716" s="1" t="s">
        <v>651</v>
      </c>
      <c r="I716" s="1" t="s">
        <v>2458</v>
      </c>
    </row>
    <row r="717" spans="1:9">
      <c r="A717" s="1" t="s">
        <v>1631</v>
      </c>
      <c r="B717" s="1" t="s">
        <v>259</v>
      </c>
      <c r="C717" s="1" t="s">
        <v>1632</v>
      </c>
      <c r="D717" s="1" t="s">
        <v>1633</v>
      </c>
      <c r="E717" s="1" t="s">
        <v>1634</v>
      </c>
      <c r="F717" s="1" t="s">
        <v>3469</v>
      </c>
      <c r="G717" s="1" t="s">
        <v>667</v>
      </c>
      <c r="H717" s="1" t="s">
        <v>651</v>
      </c>
    </row>
    <row r="718" spans="1:9">
      <c r="A718" s="1" t="s">
        <v>1238</v>
      </c>
      <c r="B718" s="1" t="s">
        <v>156</v>
      </c>
      <c r="C718" s="1" t="s">
        <v>1239</v>
      </c>
      <c r="D718" s="1" t="s">
        <v>1240</v>
      </c>
      <c r="E718" s="1" t="s">
        <v>1241</v>
      </c>
      <c r="F718" s="1" t="s">
        <v>3469</v>
      </c>
      <c r="G718" s="1" t="s">
        <v>889</v>
      </c>
      <c r="H718" s="1" t="s">
        <v>651</v>
      </c>
    </row>
  </sheetData>
  <sortState ref="A2:J718">
    <sortCondition ref="E2:E718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topLeftCell="A128" workbookViewId="0">
      <selection activeCell="A112" sqref="A112:A153"/>
    </sheetView>
  </sheetViews>
  <sheetFormatPr defaultRowHeight="16.5"/>
  <cols>
    <col min="1" max="1" width="9.875" bestFit="1" customWidth="1"/>
    <col min="2" max="2" width="47.125" customWidth="1"/>
    <col min="3" max="3" width="24.75" customWidth="1"/>
    <col min="4" max="5" width="22" customWidth="1"/>
    <col min="6" max="6" width="18.875" hidden="1" customWidth="1"/>
    <col min="7" max="7" width="11.875" customWidth="1"/>
    <col min="8" max="8" width="23.875" customWidth="1"/>
    <col min="9" max="9" width="18.875" bestFit="1" customWidth="1"/>
  </cols>
  <sheetData>
    <row r="1" spans="1:9" s="10" customFormat="1">
      <c r="A1" s="10" t="s">
        <v>640</v>
      </c>
      <c r="B1" s="10" t="s">
        <v>0</v>
      </c>
      <c r="C1" s="10" t="s">
        <v>641</v>
      </c>
      <c r="D1" s="10" t="s">
        <v>642</v>
      </c>
      <c r="E1" s="10" t="s">
        <v>1</v>
      </c>
      <c r="F1" s="10" t="s">
        <v>3468</v>
      </c>
      <c r="G1" s="10" t="s">
        <v>643</v>
      </c>
      <c r="H1" s="10" t="s">
        <v>644</v>
      </c>
      <c r="I1" s="10" t="s">
        <v>645</v>
      </c>
    </row>
    <row r="2" spans="1:9">
      <c r="A2" t="str">
        <f>("D0001731")</f>
        <v>D0001731</v>
      </c>
      <c r="B2" t="str">
        <f>("助人專業倫理 =Helping professions ethics /")</f>
        <v>助人專業倫理 =Helping professions ethics /</v>
      </c>
      <c r="C2" t="str">
        <f>("牛格正 ")</f>
        <v xml:space="preserve">牛格正 </v>
      </c>
      <c r="D2" t="str">
        <f>("心靈工坊文化出版,")</f>
        <v>心靈工坊文化出版,</v>
      </c>
      <c r="E2" t="str">
        <f>("178.4 8744 2008")</f>
        <v>178.4 8744 2008</v>
      </c>
      <c r="F2" t="str">
        <f>("2013/10/01 00:00:00")</f>
        <v>2013/10/01 00:00:00</v>
      </c>
      <c r="G2" t="str">
        <f>("2008")</f>
        <v>2008</v>
      </c>
      <c r="H2" t="str">
        <f>("大林慈院醫倫、醫法區")</f>
        <v>大林慈院醫倫、醫法區</v>
      </c>
      <c r="I2" t="str">
        <f>("學習資源組")</f>
        <v>學習資源組</v>
      </c>
    </row>
    <row r="3" spans="1:9">
      <c r="A3" t="str">
        <f>("D0007463")</f>
        <v>D0007463</v>
      </c>
      <c r="B3" t="str">
        <f>("寒假慈濟援建學校生命暨人文倫理教學研習")</f>
        <v>寒假慈濟援建學校生命暨人文倫理教學研習</v>
      </c>
      <c r="C3" t="str">
        <f>("")</f>
        <v/>
      </c>
      <c r="D3" t="str">
        <f>("慈濟援建學校聯誼會")</f>
        <v>慈濟援建學校聯誼會</v>
      </c>
      <c r="E3" t="str">
        <f>("190 8292 2006")</f>
        <v>190 8292 2006</v>
      </c>
      <c r="F3" t="str">
        <f>("2013/10/01 00:00:00")</f>
        <v>2013/10/01 00:00:00</v>
      </c>
      <c r="G3" t="str">
        <f>("2006")</f>
        <v>2006</v>
      </c>
      <c r="H3" t="str">
        <f>("大林慈院醫倫、醫法區")</f>
        <v>大林慈院醫倫、醫法區</v>
      </c>
    </row>
    <row r="4" spans="1:9">
      <c r="A4" t="str">
        <f>("D0008235")</f>
        <v>D0008235</v>
      </c>
      <c r="B4" t="str">
        <f>("倫理學體系")</f>
        <v>倫理學體系</v>
      </c>
      <c r="C4" t="str">
        <f>("")</f>
        <v/>
      </c>
      <c r="D4" t="str">
        <f>("淑馨出版社")</f>
        <v>淑馨出版社</v>
      </c>
      <c r="E4" t="str">
        <f>("190 8436 1989")</f>
        <v>190 8436 1989</v>
      </c>
      <c r="F4" t="str">
        <f>("2013/10/01 00:00:00")</f>
        <v>2013/10/01 00:00:00</v>
      </c>
      <c r="G4" t="str">
        <f>("1989")</f>
        <v>1989</v>
      </c>
      <c r="H4" t="str">
        <f>("大林慈院醫倫、醫法區")</f>
        <v>大林慈院醫倫、醫法區</v>
      </c>
    </row>
    <row r="5" spans="1:9">
      <c r="A5" t="str">
        <f>("D0012951")</f>
        <v>D0012951</v>
      </c>
      <c r="B5" t="str">
        <f>("人體試驗 =Human experiments :")</f>
        <v>人體試驗 =Human experiments :</v>
      </c>
      <c r="C5" t="str">
        <f>("戴正德 ")</f>
        <v xml:space="preserve">戴正德 </v>
      </c>
      <c r="D5" t="str">
        <f>("教育部,")</f>
        <v>教育部,</v>
      </c>
      <c r="E5" t="str">
        <f>("197.1 8345 2012")</f>
        <v>197.1 8345 2012</v>
      </c>
      <c r="F5" t="str">
        <f>("2013/10/01 00:00:00")</f>
        <v>2013/10/01 00:00:00</v>
      </c>
      <c r="G5" t="str">
        <f>("2012")</f>
        <v>2012</v>
      </c>
      <c r="H5" t="str">
        <f>("大林慈院醫倫、醫法區")</f>
        <v>大林慈院醫倫、醫法區</v>
      </c>
    </row>
    <row r="6" spans="1:9">
      <c r="A6" t="str">
        <f>("D0001196")</f>
        <v>D0001196</v>
      </c>
      <c r="B6" t="str">
        <f>("生命倫理 /")</f>
        <v>生命倫理 /</v>
      </c>
      <c r="C6" t="str">
        <f>("尉遲淦作")</f>
        <v>尉遲淦作</v>
      </c>
      <c r="D6" t="str">
        <f>("華都文化,")</f>
        <v>華都文化,</v>
      </c>
      <c r="E6" t="str">
        <f>("197.1 8353 2007")</f>
        <v>197.1 8353 2007</v>
      </c>
      <c r="F6" t="str">
        <f>("2013/10/01 00:00:00")</f>
        <v>2013/10/01 00:00:00</v>
      </c>
      <c r="G6" t="str">
        <f>("2007")</f>
        <v>2007</v>
      </c>
      <c r="H6" t="str">
        <f>("大林慈院醫倫、醫法區")</f>
        <v>大林慈院醫倫、醫法區</v>
      </c>
      <c r="I6" t="str">
        <f>("護理部")</f>
        <v>護理部</v>
      </c>
    </row>
    <row r="7" spans="1:9">
      <c r="A7" t="str">
        <f>("D0011306")</f>
        <v>D0011306</v>
      </c>
      <c r="B7" t="str">
        <f>("生命倫理 /")</f>
        <v>生命倫理 /</v>
      </c>
      <c r="C7" t="str">
        <f>("尉遲淦作")</f>
        <v>尉遲淦作</v>
      </c>
      <c r="D7" t="str">
        <f>("華都文化,")</f>
        <v>華都文化,</v>
      </c>
      <c r="E7" t="str">
        <f>("197.1 8353 2007 c.2")</f>
        <v>197.1 8353 2007 c.2</v>
      </c>
      <c r="F7" t="str">
        <f>("2013/10/01 00:00:00")</f>
        <v>2013/10/01 00:00:00</v>
      </c>
      <c r="G7" t="str">
        <f>("2007")</f>
        <v>2007</v>
      </c>
      <c r="H7" t="str">
        <f>("大林慈院醫倫、醫法區")</f>
        <v>大林慈院醫倫、醫法區</v>
      </c>
      <c r="I7" t="str">
        <f>("護理部")</f>
        <v>護理部</v>
      </c>
    </row>
    <row r="8" spans="1:9">
      <c r="A8" t="str">
        <f>("D0005032")</f>
        <v>D0005032</v>
      </c>
      <c r="B8" t="str">
        <f>("臨床生命倫理學 /")</f>
        <v>臨床生命倫理學 /</v>
      </c>
      <c r="C8" t="str">
        <f>("辛格(Singer, Peter A., 1960-) ")</f>
        <v xml:space="preserve">辛格(Singer, Peter A., 1960-) </v>
      </c>
      <c r="D8" t="str">
        <f>("醫院評鑑暨醫療品質策進會,")</f>
        <v>醫院評鑑暨醫療品質策進會,</v>
      </c>
      <c r="E8" t="str">
        <f>("197.1 844 2003")</f>
        <v>197.1 844 2003</v>
      </c>
      <c r="F8" t="str">
        <f>("2013/10/01 00:00:00")</f>
        <v>2013/10/01 00:00:00</v>
      </c>
      <c r="G8" t="str">
        <f>("2003")</f>
        <v>2003</v>
      </c>
      <c r="H8" t="str">
        <f>("大林慈院醫倫、醫法區")</f>
        <v>大林慈院醫倫、醫法區</v>
      </c>
    </row>
    <row r="9" spans="1:9">
      <c r="A9" t="str">
        <f>("D0006822")</f>
        <v>D0006822</v>
      </c>
      <c r="B9" t="str">
        <f>("臨床生命倫理學 /")</f>
        <v>臨床生命倫理學 /</v>
      </c>
      <c r="C9" t="str">
        <f>("辛格(Singer, Peter A., 1960-) ")</f>
        <v xml:space="preserve">辛格(Singer, Peter A., 1960-) </v>
      </c>
      <c r="D9" t="str">
        <f>("醫院評鑑暨醫療品質策進會,")</f>
        <v>醫院評鑑暨醫療品質策進會,</v>
      </c>
      <c r="E9" t="str">
        <f>("197.1 844 2004")</f>
        <v>197.1 844 2004</v>
      </c>
      <c r="F9" t="str">
        <f>("2013/10/01 00:00:00")</f>
        <v>2013/10/01 00:00:00</v>
      </c>
      <c r="G9" t="str">
        <f>("2004")</f>
        <v>2004</v>
      </c>
      <c r="H9" t="str">
        <f>("大林慈院醫倫、醫法區")</f>
        <v>大林慈院醫倫、醫法區</v>
      </c>
    </row>
    <row r="10" spans="1:9">
      <c r="A10" t="str">
        <f>("D0016459")</f>
        <v>D0016459</v>
      </c>
      <c r="B10" t="str">
        <f>("臨床生命倫理學 / ")</f>
        <v xml:space="preserve">臨床生命倫理學 / </v>
      </c>
      <c r="C10" t="str">
        <f>("辛格(Singer, Peter A.)編著")</f>
        <v>辛格(Singer, Peter A.)編著</v>
      </c>
      <c r="D10" t="str">
        <f>("金名圖書, ")</f>
        <v xml:space="preserve">金名圖書, </v>
      </c>
      <c r="E10" t="str">
        <f>("197.1 844 2018")</f>
        <v>197.1 844 2018</v>
      </c>
      <c r="F10" t="str">
        <f>("2020/04/14 00:00:00")</f>
        <v>2020/04/14 00:00:00</v>
      </c>
      <c r="G10" t="str">
        <f>("2018")</f>
        <v>2018</v>
      </c>
      <c r="H10" t="str">
        <f>("大林慈院醫倫、醫法區")</f>
        <v>大林慈院醫倫、醫法區</v>
      </c>
      <c r="I10" t="str">
        <f>("學習資源組")</f>
        <v>學習資源組</v>
      </c>
    </row>
    <row r="11" spans="1:9">
      <c r="A11" t="str">
        <f>("D0004140")</f>
        <v>D0004140</v>
      </c>
      <c r="B11" t="str">
        <f>("臨終之醫療倫理 /")</f>
        <v>臨終之醫療倫理 /</v>
      </c>
      <c r="C11" t="str">
        <f>("伊曼紐(Emanuel, Ezkiel) ")</f>
        <v xml:space="preserve">伊曼紐(Emanuel, Ezkiel) </v>
      </c>
      <c r="D11" t="str">
        <f>("撰者,")</f>
        <v>撰者,</v>
      </c>
      <c r="E11" t="str">
        <f>("197.1 8556 1999")</f>
        <v>197.1 8556 1999</v>
      </c>
      <c r="F11" t="str">
        <f>("2013/10/01 00:00:00")</f>
        <v>2013/10/01 00:00:00</v>
      </c>
      <c r="G11" t="str">
        <f>("1999")</f>
        <v>1999</v>
      </c>
      <c r="H11" t="str">
        <f>("大林慈院醫倫、醫法區")</f>
        <v>大林慈院醫倫、醫法區</v>
      </c>
    </row>
    <row r="12" spans="1:9">
      <c r="A12" t="str">
        <f>("D0005487")</f>
        <v>D0005487</v>
      </c>
      <c r="B12" t="str">
        <f>("從機會到選擇 :遺傳學與正義 /")</f>
        <v>從機會到選擇 :遺傳學與正義 /</v>
      </c>
      <c r="C12" t="str">
        <f>("布坎南(Buchanan, Allen E., 1948-    ) ;蕭郁雯 ")</f>
        <v xml:space="preserve">布坎南(Buchanan, Allen E., 1948-    ) ;蕭郁雯 </v>
      </c>
      <c r="D12" t="str">
        <f>("巨流出版,")</f>
        <v>巨流出版,</v>
      </c>
      <c r="E12" t="str">
        <f>("197.1 8575 2004")</f>
        <v>197.1 8575 2004</v>
      </c>
      <c r="F12" t="str">
        <f>("2013/10/01 00:00:00")</f>
        <v>2013/10/01 00:00:00</v>
      </c>
      <c r="G12" t="str">
        <f>("2004")</f>
        <v>2004</v>
      </c>
      <c r="H12" t="str">
        <f>("大林慈院醫倫、醫法區")</f>
        <v>大林慈院醫倫、醫法區</v>
      </c>
      <c r="I12" t="str">
        <f>("PGY計畫經費")</f>
        <v>PGY計畫經費</v>
      </c>
    </row>
    <row r="13" spans="1:9">
      <c r="A13" t="str">
        <f>("D0016485")</f>
        <v>D0016485</v>
      </c>
      <c r="B13" t="str">
        <f>("動物研究倫理 /")</f>
        <v>動物研究倫理 /</v>
      </c>
      <c r="C13" t="str">
        <f>("徐濟泰.")</f>
        <v>徐濟泰.</v>
      </c>
      <c r="D13" t="str">
        <f>("國立臺灣大學醫學院,")</f>
        <v>國立臺灣大學醫學院,</v>
      </c>
      <c r="E13" t="str">
        <f>("197.4 8543 2019")</f>
        <v>197.4 8543 2019</v>
      </c>
      <c r="F13" t="str">
        <f>("2020/04/14 00:00:00")</f>
        <v>2020/04/14 00:00:00</v>
      </c>
      <c r="G13" t="str">
        <f>("2019")</f>
        <v>2019</v>
      </c>
      <c r="H13" t="str">
        <f>("大林慈院醫倫、醫法區")</f>
        <v>大林慈院醫倫、醫法區</v>
      </c>
      <c r="I13" t="str">
        <f>("學習資源組")</f>
        <v>學習資源組</v>
      </c>
    </row>
    <row r="14" spans="1:9">
      <c r="A14" t="str">
        <f>("D0013687")</f>
        <v>D0013687</v>
      </c>
      <c r="B14" t="str">
        <f>("職場倫理 / ")</f>
        <v xml:space="preserve">職場倫理 / </v>
      </c>
      <c r="C14" t="str">
        <f>("經觀榮著 ")</f>
        <v xml:space="preserve">經觀榮著 </v>
      </c>
      <c r="D14" t="str">
        <f>("新文京開發出版, ")</f>
        <v xml:space="preserve">新文京開發出版, </v>
      </c>
      <c r="E14" t="str">
        <f>("198 8666 2011")</f>
        <v>198 8666 2011</v>
      </c>
      <c r="F14" t="str">
        <f>("2013/10/01 00:00:00")</f>
        <v>2013/10/01 00:00:00</v>
      </c>
      <c r="G14" t="str">
        <f>("2011")</f>
        <v>2011</v>
      </c>
      <c r="H14" t="str">
        <f>("大林慈院醫倫、醫法區")</f>
        <v>大林慈院醫倫、醫法區</v>
      </c>
    </row>
    <row r="15" spans="1:9">
      <c r="A15" t="str">
        <f>("D0010453")</f>
        <v>D0010453</v>
      </c>
      <c r="B15" t="str">
        <f>("科技倫理 =Technology ethic :")</f>
        <v>科技倫理 =Technology ethic :</v>
      </c>
      <c r="C15" t="str">
        <f>("蕭宏恩 ")</f>
        <v xml:space="preserve">蕭宏恩 </v>
      </c>
      <c r="D15" t="str">
        <f>("新文京開發,")</f>
        <v>新文京開發,</v>
      </c>
      <c r="E15" t="str">
        <f>("198.4 8624 2006")</f>
        <v>198.4 8624 2006</v>
      </c>
      <c r="F15" t="str">
        <f>("2013/10/01 00:00:00")</f>
        <v>2013/10/01 00:00:00</v>
      </c>
      <c r="G15" t="str">
        <f>("2006")</f>
        <v>2006</v>
      </c>
      <c r="H15" t="str">
        <f>("大林慈院醫倫、醫法區")</f>
        <v>大林慈院醫倫、醫法區</v>
      </c>
      <c r="I15" t="str">
        <f>("學習資源組")</f>
        <v>學習資源組</v>
      </c>
    </row>
    <row r="16" spans="1:9">
      <c r="A16" t="str">
        <f>("D0004139")</f>
        <v>D0004139</v>
      </c>
      <c r="B16" t="str">
        <f>("醫學倫理導論 =Introduction to medical ethics /")</f>
        <v>醫學倫理導論 =Introduction to medical ethics /</v>
      </c>
      <c r="C16" t="str">
        <f>("戴正德(醫學) ")</f>
        <v xml:space="preserve">戴正德(醫學) </v>
      </c>
      <c r="D16" t="str">
        <f>("教育部,")</f>
        <v>教育部,</v>
      </c>
      <c r="E16" t="str">
        <f>("198.41 8345 2000")</f>
        <v>198.41 8345 2000</v>
      </c>
      <c r="F16" t="str">
        <f>("2013/10/01 00:00:00")</f>
        <v>2013/10/01 00:00:00</v>
      </c>
      <c r="G16" t="str">
        <f>("2000")</f>
        <v>2000</v>
      </c>
      <c r="H16" t="str">
        <f>("大林慈院醫倫、醫法區")</f>
        <v>大林慈院醫倫、醫法區</v>
      </c>
      <c r="I16" t="str">
        <f>("學習資源組")</f>
        <v>學習資源組</v>
      </c>
    </row>
    <row r="17" spans="1:9">
      <c r="A17" t="str">
        <f>("D0010504")</f>
        <v>D0010504</v>
      </c>
      <c r="B17" t="str">
        <f>("醫學倫理導論 =Introduction to medical ethics /")</f>
        <v>醫學倫理導論 =Introduction to medical ethics /</v>
      </c>
      <c r="C17" t="str">
        <f>("戴正德(醫學) ")</f>
        <v xml:space="preserve">戴正德(醫學) </v>
      </c>
      <c r="D17" t="str">
        <f>("教育部,")</f>
        <v>教育部,</v>
      </c>
      <c r="E17" t="str">
        <f>("198.41 8345-2 2006")</f>
        <v>198.41 8345-2 2006</v>
      </c>
      <c r="F17" t="str">
        <f>("2013/10/01 00:00:00")</f>
        <v>2013/10/01 00:00:00</v>
      </c>
      <c r="G17" t="str">
        <f>("2006")</f>
        <v>2006</v>
      </c>
      <c r="H17" t="str">
        <f>("大林慈院醫倫、醫法區")</f>
        <v>大林慈院醫倫、醫法區</v>
      </c>
    </row>
    <row r="18" spans="1:9">
      <c r="A18" t="str">
        <f>("D0011230")</f>
        <v>D0011230</v>
      </c>
      <c r="B18" t="str">
        <f>("醫學倫理與人文 =Medical ethics and humanities :")</f>
        <v>醫學倫理與人文 =Medical ethics and humanities :</v>
      </c>
      <c r="C18" t="str">
        <f>("戴正德(醫學) ")</f>
        <v xml:space="preserve">戴正德(醫學) </v>
      </c>
      <c r="D18" t="str">
        <f>("高立,")</f>
        <v>高立,</v>
      </c>
      <c r="E18" t="str">
        <f>("198.41 8345-3 2006")</f>
        <v>198.41 8345-3 2006</v>
      </c>
      <c r="F18" t="str">
        <f>("2013/10/01 00:00:00")</f>
        <v>2013/10/01 00:00:00</v>
      </c>
      <c r="G18" t="str">
        <f>("2006")</f>
        <v>2006</v>
      </c>
      <c r="H18" t="str">
        <f>("大林慈院醫倫、醫法區")</f>
        <v>大林慈院醫倫、醫法區</v>
      </c>
    </row>
    <row r="19" spans="1:9">
      <c r="A19" t="str">
        <f>("D0004120")</f>
        <v>D0004120</v>
      </c>
      <c r="B19" t="str">
        <f>("生與死的關照 :現代醫療啟示錄 /")</f>
        <v>生與死的關照 :現代醫療啟示錄 /</v>
      </c>
      <c r="C19" t="str">
        <f>("村上陽一郎 ")</f>
        <v xml:space="preserve">村上陽一郎 </v>
      </c>
      <c r="D19" t="str">
        <f>("東大發行,")</f>
        <v>東大發行,</v>
      </c>
      <c r="E19" t="str">
        <f>("198.41 8356 1997")</f>
        <v>198.41 8356 1997</v>
      </c>
      <c r="F19" t="str">
        <f>("2013/10/01 00:00:00")</f>
        <v>2013/10/01 00:00:00</v>
      </c>
      <c r="G19" t="str">
        <f>("1997")</f>
        <v>1997</v>
      </c>
      <c r="H19" t="str">
        <f>("大林慈院醫倫、醫法區")</f>
        <v>大林慈院醫倫、醫法區</v>
      </c>
    </row>
    <row r="20" spans="1:9">
      <c r="A20" t="str">
        <f>("D0010452")</f>
        <v>D0010452</v>
      </c>
      <c r="B20" t="str">
        <f>("臨床倫理病案討論 =Case discussion in clinical ethics /")</f>
        <v>臨床倫理病案討論 =Case discussion in clinical ethics /</v>
      </c>
      <c r="C20" t="str">
        <f>("蔡甫昌 ")</f>
        <v xml:space="preserve">蔡甫昌 </v>
      </c>
      <c r="D20" t="str">
        <f>("橘井文化,")</f>
        <v>橘井文化,</v>
      </c>
      <c r="E20" t="str">
        <f>("198.41 8435 2007")</f>
        <v>198.41 8435 2007</v>
      </c>
      <c r="F20" t="str">
        <f>("2013/10/01 00:00:00")</f>
        <v>2013/10/01 00:00:00</v>
      </c>
      <c r="G20" t="str">
        <f>("2007")</f>
        <v>2007</v>
      </c>
      <c r="H20" t="str">
        <f>("大林慈院醫倫、醫法區")</f>
        <v>大林慈院醫倫、醫法區</v>
      </c>
      <c r="I20" t="str">
        <f>("學習資源組")</f>
        <v>學習資源組</v>
      </c>
    </row>
    <row r="21" spans="1:9">
      <c r="A21" t="str">
        <f>("D0008036")</f>
        <v>D0008036</v>
      </c>
      <c r="B21" t="str">
        <f>("病房倫理 /")</f>
        <v>病房倫理 /</v>
      </c>
      <c r="C21" t="str">
        <f>("庫虛諾(Kushner, Thomasine K.) ")</f>
        <v xml:space="preserve">庫虛諾(Kushner, Thomasine K.) </v>
      </c>
      <c r="D21" t="str">
        <f>("合記,")</f>
        <v>合記,</v>
      </c>
      <c r="E21" t="str">
        <f>("198.41 8453 2004")</f>
        <v>198.41 8453 2004</v>
      </c>
      <c r="F21" t="str">
        <f>("2013/10/01 00:00:00")</f>
        <v>2013/10/01 00:00:00</v>
      </c>
      <c r="G21" t="str">
        <f>("2004")</f>
        <v>2004</v>
      </c>
      <c r="H21" t="str">
        <f>("大林慈院醫倫、醫法區")</f>
        <v>大林慈院醫倫、醫法區</v>
      </c>
      <c r="I21" t="str">
        <f>("PGY")</f>
        <v>PGY</v>
      </c>
    </row>
    <row r="22" spans="1:9">
      <c r="A22" t="str">
        <f>("D0005486")</f>
        <v>D0005486</v>
      </c>
      <c r="B22" t="str">
        <f>("病房倫理 /")</f>
        <v>病房倫理 /</v>
      </c>
      <c r="C22" t="str">
        <f>("庫虛諾(Kushner, Thomasine K.) ")</f>
        <v xml:space="preserve">庫虛諾(Kushner, Thomasine K.) </v>
      </c>
      <c r="D22" t="str">
        <f>("合記,")</f>
        <v>合記,</v>
      </c>
      <c r="E22" t="str">
        <f>("198.41 8453 2004 c.2")</f>
        <v>198.41 8453 2004 c.2</v>
      </c>
      <c r="F22" t="str">
        <f>("2013/10/01 00:00:00")</f>
        <v>2013/10/01 00:00:00</v>
      </c>
      <c r="G22" t="str">
        <f>("2004")</f>
        <v>2004</v>
      </c>
      <c r="H22" t="str">
        <f>("大林慈院醫倫、醫法區")</f>
        <v>大林慈院醫倫、醫法區</v>
      </c>
      <c r="I22" t="str">
        <f>("PGY")</f>
        <v>PGY</v>
      </c>
    </row>
    <row r="23" spans="1:9">
      <c r="A23" t="str">
        <f>("D0010407")</f>
        <v>D0010407</v>
      </c>
      <c r="B23" t="str">
        <f>("醫護倫理學 /")</f>
        <v>醫護倫理學 /</v>
      </c>
      <c r="C23" t="str">
        <f>("盧美秀著")</f>
        <v>盧美秀著</v>
      </c>
      <c r="D23" t="str">
        <f>("五南,")</f>
        <v>五南,</v>
      </c>
      <c r="E23" t="str">
        <f>("198.41 8566 2008")</f>
        <v>198.41 8566 2008</v>
      </c>
      <c r="F23" t="str">
        <f>("2013/10/01 00:00:00")</f>
        <v>2013/10/01 00:00:00</v>
      </c>
      <c r="G23" t="str">
        <f>("2008")</f>
        <v>2008</v>
      </c>
      <c r="H23" t="str">
        <f>("大林慈院醫倫、醫法區")</f>
        <v>大林慈院醫倫、醫法區</v>
      </c>
      <c r="I23" t="str">
        <f>("學習資源組")</f>
        <v>學習資源組</v>
      </c>
    </row>
    <row r="24" spans="1:9">
      <c r="A24" t="str">
        <f>("D0010521")</f>
        <v>D0010521</v>
      </c>
      <c r="B24" t="str">
        <f>("醫事倫理新論 /")</f>
        <v>醫事倫理新論 /</v>
      </c>
      <c r="C24" t="str">
        <f>("蕭宏恩 ")</f>
        <v xml:space="preserve">蕭宏恩 </v>
      </c>
      <c r="D24" t="str">
        <f>("五南,")</f>
        <v>五南,</v>
      </c>
      <c r="E24" t="str">
        <f>("198.41 8624 2006")</f>
        <v>198.41 8624 2006</v>
      </c>
      <c r="F24" t="str">
        <f>("2013/10/01 00:00:00")</f>
        <v>2013/10/01 00:00:00</v>
      </c>
      <c r="G24" t="str">
        <f>("2006")</f>
        <v>2006</v>
      </c>
      <c r="H24" t="str">
        <f>("大林慈院醫倫、醫法區")</f>
        <v>大林慈院醫倫、醫法區</v>
      </c>
      <c r="I24" t="str">
        <f>("學習資源組")</f>
        <v>學習資源組</v>
      </c>
    </row>
    <row r="25" spans="1:9">
      <c r="A25" t="str">
        <f>("D0011023")</f>
        <v>D0011023</v>
      </c>
      <c r="B25" t="str">
        <f>("人命關天:廿一世紀醫學倫理大挑戰")</f>
        <v>人命關天:廿一世紀醫學倫理大挑戰</v>
      </c>
      <c r="C25" t="str">
        <f>("")</f>
        <v/>
      </c>
      <c r="D25" t="str">
        <f>("合記;校園書房")</f>
        <v>合記;校園書房</v>
      </c>
      <c r="E25" t="str">
        <f>("198.41 8645 2004")</f>
        <v>198.41 8645 2004</v>
      </c>
      <c r="F25" t="str">
        <f>("2013/10/01 00:00:00")</f>
        <v>2013/10/01 00:00:00</v>
      </c>
      <c r="G25" t="str">
        <f>("2004")</f>
        <v>2004</v>
      </c>
      <c r="H25" t="str">
        <f>("大林慈院醫倫、醫法區")</f>
        <v>大林慈院醫倫、醫法區</v>
      </c>
    </row>
    <row r="26" spans="1:9">
      <c r="A26" t="str">
        <f>("D0005322")</f>
        <v>D0005322</v>
      </c>
      <c r="B26" t="str">
        <f>("醫院裡的危機時刻 :醫療與倫理的對話 /")</f>
        <v>醫院裡的危機時刻 :醫療與倫理的對話 /</v>
      </c>
      <c r="C26" t="str">
        <f>("詹納(Zaner, Richard M.) ")</f>
        <v xml:space="preserve">詹納(Zaner, Richard M.) </v>
      </c>
      <c r="D26" t="str">
        <f>("心靈工坊文化出版,")</f>
        <v>心靈工坊文化出版,</v>
      </c>
      <c r="E26" t="str">
        <f>("198.41 865 2004")</f>
        <v>198.41 865 2004</v>
      </c>
      <c r="F26" t="str">
        <f>("2013/10/01 00:00:00")</f>
        <v>2013/10/01 00:00:00</v>
      </c>
      <c r="G26" t="str">
        <f>("2004")</f>
        <v>2004</v>
      </c>
      <c r="H26" t="str">
        <f>("大林慈院醫倫、醫法區")</f>
        <v>大林慈院醫倫、醫法區</v>
      </c>
    </row>
    <row r="27" spans="1:9">
      <c r="A27" t="str">
        <f>("D0002852")</f>
        <v>D0002852</v>
      </c>
      <c r="B27" t="str">
        <f>("醫學倫理學 :華人應用哲學取向 /")</f>
        <v>醫學倫理學 :華人應用哲學取向 /</v>
      </c>
      <c r="C27" t="str">
        <f>("鈕則誠 ")</f>
        <v xml:space="preserve">鈕則誠 </v>
      </c>
      <c r="D27" t="str">
        <f>("華杏,")</f>
        <v>華杏,</v>
      </c>
      <c r="E27" t="str">
        <f>("198.41 8662 2004")</f>
        <v>198.41 8662 2004</v>
      </c>
      <c r="F27" t="str">
        <f>("2013/10/01 00:00:00")</f>
        <v>2013/10/01 00:00:00</v>
      </c>
      <c r="G27" t="str">
        <f>("2004")</f>
        <v>2004</v>
      </c>
      <c r="H27" t="str">
        <f>("大林慈院醫倫、醫法區")</f>
        <v>大林慈院醫倫、醫法區</v>
      </c>
    </row>
    <row r="28" spans="1:9">
      <c r="A28" t="str">
        <f>("D0011439")</f>
        <v>D0011439</v>
      </c>
      <c r="B28" t="str">
        <f>("醫學倫理學 :華人應用哲學取向 /")</f>
        <v>醫學倫理學 :華人應用哲學取向 /</v>
      </c>
      <c r="C28" t="str">
        <f>("鈕則誠 ")</f>
        <v xml:space="preserve">鈕則誠 </v>
      </c>
      <c r="D28" t="str">
        <f>("華杏,")</f>
        <v>華杏,</v>
      </c>
      <c r="E28" t="str">
        <f>("198.41 8662 2004 c.2")</f>
        <v>198.41 8662 2004 c.2</v>
      </c>
      <c r="F28" t="str">
        <f>("2013/10/01 00:00:00")</f>
        <v>2013/10/01 00:00:00</v>
      </c>
      <c r="G28" t="str">
        <f>("2004")</f>
        <v>2004</v>
      </c>
      <c r="H28" t="str">
        <f>("大林慈院醫倫、醫法區")</f>
        <v>大林慈院醫倫、醫法區</v>
      </c>
    </row>
    <row r="29" spans="1:9">
      <c r="A29" t="str">
        <f>("D0016321")</f>
        <v>D0016321</v>
      </c>
      <c r="B29" t="str">
        <f>("如何走下去 :倫理與醫療 /")</f>
        <v>如何走下去 :倫理與醫療 /</v>
      </c>
      <c r="C29" t="str">
        <f>("陳浩文 ")</f>
        <v xml:space="preserve">陳浩文 </v>
      </c>
      <c r="D29" t="str">
        <f>("香港城市出版社,")</f>
        <v>香港城市出版社,</v>
      </c>
      <c r="E29" t="str">
        <f>("198.41 8736 2018")</f>
        <v>198.41 8736 2018</v>
      </c>
      <c r="F29" t="str">
        <f>("2019/10/31 00:00:00")</f>
        <v>2019/10/31 00:00:00</v>
      </c>
      <c r="G29" t="str">
        <f>("2018")</f>
        <v>2018</v>
      </c>
      <c r="H29" t="str">
        <f>("大林慈院醫倫、醫法區")</f>
        <v>大林慈院醫倫、醫法區</v>
      </c>
      <c r="I29" t="str">
        <f>("學習資源組")</f>
        <v>學習資源組</v>
      </c>
    </row>
    <row r="30" spans="1:9">
      <c r="A30" t="str">
        <f>("D0011024")</f>
        <v>D0011024</v>
      </c>
      <c r="B30" t="str">
        <f>("物理治療倫理 :思維與實踐 /")</f>
        <v>物理治療倫理 :思維與實踐 /</v>
      </c>
      <c r="C30" t="str">
        <f>("吳英黛編著 ")</f>
        <v xml:space="preserve">吳英黛編著 </v>
      </c>
      <c r="D30" t="str">
        <f>("金名,")</f>
        <v>金名,</v>
      </c>
      <c r="E30" t="str">
        <f>("198.41 8885 2006")</f>
        <v>198.41 8885 2006</v>
      </c>
      <c r="F30" t="str">
        <f>("2013/10/01 00:00:00")</f>
        <v>2013/10/01 00:00:00</v>
      </c>
      <c r="G30" t="str">
        <f>("2006")</f>
        <v>2006</v>
      </c>
      <c r="H30" t="str">
        <f>("大林慈院醫倫、醫法區")</f>
        <v>大林慈院醫倫、醫法區</v>
      </c>
    </row>
    <row r="31" spans="1:9">
      <c r="A31" t="str">
        <f>("D0016460")</f>
        <v>D0016460</v>
      </c>
      <c r="B31" t="str">
        <f>("當代研究倫理綜覽 /")</f>
        <v>當代研究倫理綜覽 /</v>
      </c>
      <c r="C31" t="str">
        <f>("莊宇真.;蔡甫昌.")</f>
        <v>莊宇真.;蔡甫昌.</v>
      </c>
      <c r="D31" t="str">
        <f>("國立臺灣大學醫學院,")</f>
        <v>國立臺灣大學醫學院,</v>
      </c>
      <c r="E31" t="str">
        <f>("198.5251 8435 2019")</f>
        <v>198.5251 8435 2019</v>
      </c>
      <c r="F31" t="str">
        <f>("2020/04/14 00:00:00")</f>
        <v>2020/04/14 00:00:00</v>
      </c>
      <c r="G31" t="str">
        <f>("2019")</f>
        <v>2019</v>
      </c>
      <c r="H31" t="str">
        <f>("大林慈院醫倫、醫法區")</f>
        <v>大林慈院醫倫、醫法區</v>
      </c>
      <c r="I31" t="str">
        <f>("學習資源組")</f>
        <v>學習資源組</v>
      </c>
    </row>
    <row r="32" spans="1:9">
      <c r="A32" t="str">
        <f>("D0002097")</f>
        <v>D0002097</v>
      </c>
      <c r="B32" t="str">
        <f>("社會工作倫理 /")</f>
        <v>社會工作倫理 /</v>
      </c>
      <c r="C32" t="str">
        <f>("徐震主編 ;李明政主編 ")</f>
        <v xml:space="preserve">徐震主編 ;李明政主編 </v>
      </c>
      <c r="D32" t="str">
        <f>("五南,")</f>
        <v>五南,</v>
      </c>
      <c r="E32" t="str">
        <f>("198.547 897 2002")</f>
        <v>198.547 897 2002</v>
      </c>
      <c r="F32" t="str">
        <f>("2013/10/01 00:00:00")</f>
        <v>2013/10/01 00:00:00</v>
      </c>
      <c r="G32" t="str">
        <f>("2002")</f>
        <v>2002</v>
      </c>
      <c r="H32" t="str">
        <f>("大林慈院醫倫、醫法區")</f>
        <v>大林慈院醫倫、醫法區</v>
      </c>
      <c r="I32" t="str">
        <f>("學習資源組")</f>
        <v>學習資源組</v>
      </c>
    </row>
    <row r="33" spans="1:9">
      <c r="A33" t="str">
        <f>("D0016015")</f>
        <v>D0016015</v>
      </c>
      <c r="B33" t="str">
        <f>("科倫醫生吐真言 : 醫學爭議教我們的二三事 / ")</f>
        <v xml:space="preserve">科倫醫生吐真言 : 醫學爭議教我們的二三事 / </v>
      </c>
      <c r="C33" t="str">
        <f>("柯林斯(Collins, Harry)著")</f>
        <v>柯林斯(Collins, Harry)著</v>
      </c>
      <c r="D33" t="str">
        <f>("左岸文化出版 : ;遠足文化發行, ")</f>
        <v xml:space="preserve">左岸文化出版 : ;遠足文化發行, </v>
      </c>
      <c r="E33" t="str">
        <f>("410 8575 2016")</f>
        <v>410 8575 2016</v>
      </c>
      <c r="F33" t="str">
        <f>("2013/10/01 00:00:00")</f>
        <v>2013/10/01 00:00:00</v>
      </c>
      <c r="G33" t="str">
        <f>("2016")</f>
        <v>2016</v>
      </c>
      <c r="H33" t="str">
        <f>("大林慈院醫倫、醫法區")</f>
        <v>大林慈院醫倫、醫法區</v>
      </c>
    </row>
    <row r="34" spans="1:9">
      <c r="A34" t="str">
        <f>("D0000248")</f>
        <v>D0000248</v>
      </c>
      <c r="B34" t="str">
        <f>("醫務管理的倫理基礎")</f>
        <v>醫務管理的倫理基礎</v>
      </c>
      <c r="C34" t="str">
        <f>("")</f>
        <v/>
      </c>
      <c r="D34" t="str">
        <f>("台灣醫務管理學會")</f>
        <v>台灣醫務管理學會</v>
      </c>
      <c r="E34" t="str">
        <f>("410.1 8455 2009")</f>
        <v>410.1 8455 2009</v>
      </c>
      <c r="F34" t="str">
        <f>("2013/10/01 00:00:00")</f>
        <v>2013/10/01 00:00:00</v>
      </c>
      <c r="G34" t="str">
        <f>("2009")</f>
        <v>2009</v>
      </c>
      <c r="H34" t="str">
        <f>("大林慈院醫倫、醫法區")</f>
        <v>大林慈院醫倫、醫法區</v>
      </c>
    </row>
    <row r="35" spans="1:9">
      <c r="A35" t="str">
        <f>("D0010875")</f>
        <v>D0010875</v>
      </c>
      <c r="B35" t="str">
        <f>("美容醫學倫理學")</f>
        <v>美容醫學倫理學</v>
      </c>
      <c r="C35" t="str">
        <f>("")</f>
        <v/>
      </c>
      <c r="D35" t="str">
        <f>("合記;科學")</f>
        <v>合記;科學</v>
      </c>
      <c r="E35" t="str">
        <f>("410.1 8456 2005")</f>
        <v>410.1 8456 2005</v>
      </c>
      <c r="F35" t="str">
        <f>("2013/10/01 00:00:00")</f>
        <v>2013/10/01 00:00:00</v>
      </c>
      <c r="G35" t="str">
        <f>("2005")</f>
        <v>2005</v>
      </c>
      <c r="H35" t="str">
        <f>("大林慈院醫倫、醫法區")</f>
        <v>大林慈院醫倫、醫法區</v>
      </c>
      <c r="I35" t="str">
        <f>("學習資源組")</f>
        <v>學習資源組</v>
      </c>
    </row>
    <row r="36" spans="1:9">
      <c r="A36" t="str">
        <f>("D0004838")</f>
        <v>D0004838</v>
      </c>
      <c r="B36" t="str">
        <f>("國際醫學倫理研討會論文集/")</f>
        <v>國際醫學倫理研討會論文集/</v>
      </c>
      <c r="C36" t="str">
        <f>("中山醫學大學醫學人文組")</f>
        <v>中山醫學大學醫學人文組</v>
      </c>
      <c r="D36" t="str">
        <f>("中山醫學大學,")</f>
        <v>中山醫學大學,</v>
      </c>
      <c r="E36" t="str">
        <f>("410.1 8534 2002")</f>
        <v>410.1 8534 2002</v>
      </c>
      <c r="F36" t="str">
        <f>("2013/10/01 00:00:00")</f>
        <v>2013/10/01 00:00:00</v>
      </c>
      <c r="G36" t="str">
        <f>("2002")</f>
        <v>2002</v>
      </c>
      <c r="H36" t="str">
        <f>("大林慈院醫倫、醫法區")</f>
        <v>大林慈院醫倫、醫法區</v>
      </c>
    </row>
    <row r="37" spans="1:9">
      <c r="A37" t="str">
        <f>("D0004136")</f>
        <v>D0004136</v>
      </c>
      <c r="B37" t="str">
        <f>("認識生命倫理學 /")</f>
        <v>認識生命倫理學 /</v>
      </c>
      <c r="C37" t="str">
        <f>("鄂爾(Orr, Robert D.) ")</f>
        <v xml:space="preserve">鄂爾(Orr, Robert D.) </v>
      </c>
      <c r="D37" t="str">
        <f>("校園書房,")</f>
        <v>校園書房,</v>
      </c>
      <c r="E37" t="str">
        <f>("410.1 863 1997")</f>
        <v>410.1 863 1997</v>
      </c>
      <c r="F37" t="str">
        <f>("2013/10/01 00:00:00")</f>
        <v>2013/10/01 00:00:00</v>
      </c>
      <c r="G37" t="str">
        <f>("1997")</f>
        <v>1997</v>
      </c>
      <c r="H37" t="str">
        <f>("大林慈院醫倫、醫法區")</f>
        <v>大林慈院醫倫、醫法區</v>
      </c>
    </row>
    <row r="38" spans="1:9">
      <c r="A38" t="str">
        <f>("D0004119")</f>
        <v>D0004119</v>
      </c>
      <c r="B38" t="str">
        <f>("當代醫事倫理學 /")</f>
        <v>當代醫事倫理學 /</v>
      </c>
      <c r="C38" t="str">
        <f>("嚴久元 ")</f>
        <v xml:space="preserve">嚴久元 </v>
      </c>
      <c r="D38" t="str">
        <f>("橘井文化,")</f>
        <v>橘井文化,</v>
      </c>
      <c r="E38" t="str">
        <f>("410.1 8895 1999")</f>
        <v>410.1 8895 1999</v>
      </c>
      <c r="F38" t="str">
        <f>("2013/10/01 00:00:00")</f>
        <v>2013/10/01 00:00:00</v>
      </c>
      <c r="G38" t="str">
        <f>("1999")</f>
        <v>1999</v>
      </c>
      <c r="H38" t="str">
        <f>("大林慈院醫倫、醫法區")</f>
        <v>大林慈院醫倫、醫法區</v>
      </c>
    </row>
    <row r="39" spans="1:9">
      <c r="A39" t="str">
        <f>("D0011471")</f>
        <v>D0011471</v>
      </c>
      <c r="B39" t="str">
        <f>("醫療與社會 /")</f>
        <v>醫療與社會 /</v>
      </c>
      <c r="C39" t="str">
        <f>("謝博生編著 ")</f>
        <v xml:space="preserve">謝博生編著 </v>
      </c>
      <c r="D39" t="str">
        <f>("臺大醫學院,")</f>
        <v>臺大醫學院,</v>
      </c>
      <c r="E39" t="str">
        <f>("410.15 8236 2000 c.2")</f>
        <v>410.15 8236 2000 c.2</v>
      </c>
      <c r="F39" t="str">
        <f>("2013/10/01 00:00:00")</f>
        <v>2013/10/01 00:00:00</v>
      </c>
      <c r="G39" t="str">
        <f>("2000")</f>
        <v>2000</v>
      </c>
      <c r="H39" t="str">
        <f>("大林慈院醫倫、醫法區")</f>
        <v>大林慈院醫倫、醫法區</v>
      </c>
    </row>
    <row r="40" spans="1:9">
      <c r="A40" t="str">
        <f>("D0002241")</f>
        <v>D0002241</v>
      </c>
      <c r="B40" t="str">
        <f>("醫療與社會共舞 /")</f>
        <v>醫療與社會共舞 /</v>
      </c>
      <c r="C40" t="str">
        <f>("成令方(英語) ")</f>
        <v xml:space="preserve">成令方(英語) </v>
      </c>
      <c r="D40" t="str">
        <f>("群學,")</f>
        <v>群學,</v>
      </c>
      <c r="E40" t="str">
        <f>("410.15 8355 2008")</f>
        <v>410.15 8355 2008</v>
      </c>
      <c r="F40" t="str">
        <f>("2013/10/01 00:00:00")</f>
        <v>2013/10/01 00:00:00</v>
      </c>
      <c r="G40" t="str">
        <f>("2008")</f>
        <v>2008</v>
      </c>
      <c r="H40" t="str">
        <f>("大林慈院醫倫、醫法區")</f>
        <v>大林慈院醫倫、醫法區</v>
      </c>
    </row>
    <row r="41" spans="1:9">
      <c r="A41" t="str">
        <f>("D0016705")</f>
        <v>D0016705</v>
      </c>
      <c r="B41" t="str">
        <f>("照護的靈魂 :哈佛醫師寫給失智妻子的情書 /")</f>
        <v>照護的靈魂 :哈佛醫師寫給失智妻子的情書 /</v>
      </c>
      <c r="C41" t="str">
        <f>("克萊門 (Kleinman, Arthur),著")</f>
        <v>克萊門 (Kleinman, Arthur),著</v>
      </c>
      <c r="D41" t="str">
        <f>("心靈工坊文化,;大和總經銷")</f>
        <v>心靈工坊文化,;大和總經銷</v>
      </c>
      <c r="E41" t="str">
        <f>("410.15 8584 2020")</f>
        <v>410.15 8584 2020</v>
      </c>
      <c r="F41" t="str">
        <f>("2021/06/09 00:00:00")</f>
        <v>2021/06/09 00:00:00</v>
      </c>
      <c r="G41" t="str">
        <f>("2020")</f>
        <v>2020</v>
      </c>
      <c r="H41" t="str">
        <f>("大林慈院醫倫、醫法區")</f>
        <v>大林慈院醫倫、醫法區</v>
      </c>
      <c r="I41" t="str">
        <f>("學習資源組")</f>
        <v>學習資源組</v>
      </c>
    </row>
    <row r="42" spans="1:9">
      <c r="A42" t="str">
        <f>("D0001730")</f>
        <v>D0001730</v>
      </c>
      <c r="B42" t="str">
        <f>("醫療與社會 : 醫療社會學的探索")</f>
        <v>醫療與社會 : 醫療社會學的探索</v>
      </c>
      <c r="C42" t="str">
        <f>("")</f>
        <v/>
      </c>
      <c r="D42" t="str">
        <f>("長智;巨流")</f>
        <v>長智;巨流</v>
      </c>
      <c r="E42" t="str">
        <f>("410.15 8753 2005")</f>
        <v>410.15 8753 2005</v>
      </c>
      <c r="F42" t="str">
        <f>("2013/10/01 00:00:00")</f>
        <v>2013/10/01 00:00:00</v>
      </c>
      <c r="G42" t="str">
        <f>("2005")</f>
        <v>2005</v>
      </c>
      <c r="H42" t="str">
        <f>("大林慈院醫倫、醫法區")</f>
        <v>大林慈院醫倫、醫法區</v>
      </c>
      <c r="I42" t="str">
        <f>("學習資源組")</f>
        <v>學習資源組</v>
      </c>
    </row>
    <row r="43" spans="1:9">
      <c r="A43" t="str">
        <f>("D0002310")</f>
        <v>D0002310</v>
      </c>
      <c r="B43" t="str">
        <f>("健康.疾病與醫療 :醫療社會學新論 /")</f>
        <v>健康.疾病與醫療 :醫療社會學新論 /</v>
      </c>
      <c r="C43" t="str">
        <f>("葉肅科 ")</f>
        <v xml:space="preserve">葉肅科 </v>
      </c>
      <c r="D43" t="str">
        <f>("三民,")</f>
        <v>三民,</v>
      </c>
      <c r="E43" t="str">
        <f>("410.15 8857 2008")</f>
        <v>410.15 8857 2008</v>
      </c>
      <c r="F43" t="str">
        <f>("2013/10/01 00:00:00")</f>
        <v>2013/10/01 00:00:00</v>
      </c>
      <c r="G43" t="str">
        <f>("2008")</f>
        <v>2008</v>
      </c>
      <c r="H43" t="str">
        <f>("大林慈院醫倫、醫法區")</f>
        <v>大林慈院醫倫、醫法區</v>
      </c>
      <c r="I43" t="str">
        <f>("學習資源組")</f>
        <v>學習資源組</v>
      </c>
    </row>
    <row r="44" spans="1:9">
      <c r="A44" t="str">
        <f>("D0015612")</f>
        <v>D0015612</v>
      </c>
      <c r="B44" t="str">
        <f>("醫學倫理教案專書.高雄榮民總醫院25週年院慶專刊 /第2輯 :")</f>
        <v>醫學倫理教案專書.高雄榮民總醫院25週年院慶專刊 /第2輯 :</v>
      </c>
      <c r="C44" t="str">
        <f>("潘慧本")</f>
        <v>潘慧本</v>
      </c>
      <c r="D44" t="str">
        <f>("高雄榮民總醫院,")</f>
        <v>高雄榮民總醫院,</v>
      </c>
      <c r="E44" t="str">
        <f>("410.1619 8334 2015")</f>
        <v>410.1619 8334 2015</v>
      </c>
      <c r="F44" t="str">
        <f>("2017/06/23 00:00:00")</f>
        <v>2017/06/23 00:00:00</v>
      </c>
      <c r="G44" t="str">
        <f>("2015")</f>
        <v>2015</v>
      </c>
      <c r="H44" t="str">
        <f>("大林慈院醫倫、醫法區")</f>
        <v>大林慈院醫倫、醫法區</v>
      </c>
      <c r="I44" t="str">
        <f>("學習資源組 ")</f>
        <v xml:space="preserve">學習資源組 </v>
      </c>
    </row>
    <row r="45" spans="1:9">
      <c r="A45" t="str">
        <f>("D0016775")</f>
        <v>D0016775</v>
      </c>
      <c r="B45" t="str">
        <f>("醫學倫理教育 = The education of medical ethics : 由理論到實踐 / ")</f>
        <v xml:space="preserve">醫學倫理教育 = The education of medical ethics : 由理論到實踐 / </v>
      </c>
      <c r="C45" t="str">
        <f>("黃苓嵐著")</f>
        <v>黃苓嵐著</v>
      </c>
      <c r="D45" t="str">
        <f>("新文京開發, ")</f>
        <v xml:space="preserve">新文京開發, </v>
      </c>
      <c r="E45" t="str">
        <f>("410.1619 8344 2019")</f>
        <v>410.1619 8344 2019</v>
      </c>
      <c r="F45" t="str">
        <f>("2021/06/18 00:00:00")</f>
        <v>2021/06/18 00:00:00</v>
      </c>
      <c r="G45" t="str">
        <f>("2019")</f>
        <v>2019</v>
      </c>
      <c r="H45" t="str">
        <f>("大林慈院醫倫、醫法區")</f>
        <v>大林慈院醫倫、醫法區</v>
      </c>
      <c r="I45" t="str">
        <f>("學習資源組")</f>
        <v>學習資源組</v>
      </c>
    </row>
    <row r="46" spans="1:9">
      <c r="A46" t="str">
        <f>("D0012582")</f>
        <v>D0012582</v>
      </c>
      <c r="B46" t="str">
        <f>("認識醫學倫理 = The basics of medical ethics / ")</f>
        <v xml:space="preserve">認識醫學倫理 = The basics of medical ethics / </v>
      </c>
      <c r="C46" t="str">
        <f>("戴正德著")</f>
        <v>戴正德著</v>
      </c>
      <c r="D46" t="str">
        <f>("前程文化, ")</f>
        <v xml:space="preserve">前程文化, </v>
      </c>
      <c r="E46" t="str">
        <f>("410.1619 8345 2011")</f>
        <v>410.1619 8345 2011</v>
      </c>
      <c r="F46" t="str">
        <f>("2013/10/01 00:00:00")</f>
        <v>2013/10/01 00:00:00</v>
      </c>
      <c r="G46" t="str">
        <f>("2011")</f>
        <v>2011</v>
      </c>
      <c r="H46" t="str">
        <f>("大林慈院醫倫、醫法區")</f>
        <v>大林慈院醫倫、醫法區</v>
      </c>
      <c r="I46" t="str">
        <f>("學習資源組")</f>
        <v>學習資源組</v>
      </c>
    </row>
    <row r="47" spans="1:9">
      <c r="A47" t="str">
        <f>("D0004133")</f>
        <v>D0004133</v>
      </c>
      <c r="B47" t="str">
        <f>("基礎醫學倫理學 =Basic biomedical ethics /")</f>
        <v>基礎醫學倫理學 =Basic biomedical ethics /</v>
      </c>
      <c r="C47" t="str">
        <f>("戴正德(醫學) ")</f>
        <v xml:space="preserve">戴正德(醫學) </v>
      </c>
      <c r="D47" t="str">
        <f>("高立出版,")</f>
        <v>高立出版,</v>
      </c>
      <c r="E47" t="str">
        <f>("410.1619 8345-2 2000")</f>
        <v>410.1619 8345-2 2000</v>
      </c>
      <c r="F47" t="str">
        <f>("2013/10/01 00:00:00")</f>
        <v>2013/10/01 00:00:00</v>
      </c>
      <c r="G47" t="str">
        <f>("2000")</f>
        <v>2000</v>
      </c>
      <c r="H47" t="str">
        <f>("大林慈院醫倫、醫法區")</f>
        <v>大林慈院醫倫、醫法區</v>
      </c>
    </row>
    <row r="48" spans="1:9">
      <c r="A48" t="str">
        <f>("D0010447")</f>
        <v>D0010447</v>
      </c>
      <c r="B48" t="str">
        <f>("基礎醫學倫理學 =Basic biomedical ethics /")</f>
        <v>基礎醫學倫理學 =Basic biomedical ethics /</v>
      </c>
      <c r="C48" t="str">
        <f>("戴正德(醫學) ")</f>
        <v xml:space="preserve">戴正德(醫學) </v>
      </c>
      <c r="D48" t="str">
        <f>("高立,")</f>
        <v>高立,</v>
      </c>
      <c r="E48" t="str">
        <f>("410.1619 8345-3 2006")</f>
        <v>410.1619 8345-3 2006</v>
      </c>
      <c r="F48" t="str">
        <f>("2013/10/01 00:00:00")</f>
        <v>2013/10/01 00:00:00</v>
      </c>
      <c r="G48" t="str">
        <f>("2006")</f>
        <v>2006</v>
      </c>
      <c r="H48" t="str">
        <f>("大林慈院醫倫、醫法區")</f>
        <v>大林慈院醫倫、醫法區</v>
      </c>
      <c r="I48" t="str">
        <f>("學習資源組")</f>
        <v>學習資源組</v>
      </c>
    </row>
    <row r="49" spans="1:9">
      <c r="A49" t="str">
        <f>("D0003453")</f>
        <v>D0003453</v>
      </c>
      <c r="B49" t="str">
        <f>("醫療倫理與法律15講 /")</f>
        <v>醫療倫理與法律15講 /</v>
      </c>
      <c r="C49" t="str">
        <f>("曾淑瑜著 ")</f>
        <v xml:space="preserve">曾淑瑜著 </v>
      </c>
      <c r="D49" t="str">
        <f>("元照,")</f>
        <v>元照,</v>
      </c>
      <c r="E49" t="str">
        <f>("410.1619 8365 2010")</f>
        <v>410.1619 8365 2010</v>
      </c>
      <c r="F49" t="str">
        <f>("2013/10/01 00:00:00")</f>
        <v>2013/10/01 00:00:00</v>
      </c>
      <c r="G49" t="str">
        <f>("2010")</f>
        <v>2010</v>
      </c>
      <c r="H49" t="str">
        <f>("大林慈院醫倫、醫法區")</f>
        <v>大林慈院醫倫、醫法區</v>
      </c>
      <c r="I49" t="str">
        <f>("學習資源組")</f>
        <v>學習資源組</v>
      </c>
    </row>
    <row r="50" spans="1:9">
      <c r="A50" t="str">
        <f>("D0006433")</f>
        <v>D0006433</v>
      </c>
      <c r="B50" t="str">
        <f>("世界醫師會醫學倫理手冊 /")</f>
        <v>世界醫師會醫學倫理手冊 /</v>
      </c>
      <c r="C50" t="str">
        <f>("威廉斯(Williams, John R. (John Reynold), 1942-) ")</f>
        <v xml:space="preserve">威廉斯(Williams, John R. (John Reynold), 1942-) </v>
      </c>
      <c r="D50" t="str">
        <f>("中華民國醫師公會全國聯合會,")</f>
        <v>中華民國醫師公會全國聯合會,</v>
      </c>
      <c r="E50" t="str">
        <f>("410.1619 8365:2 2005")</f>
        <v>410.1619 8365:2 2005</v>
      </c>
      <c r="F50" t="str">
        <f>("2013/10/01 00:00:00")</f>
        <v>2013/10/01 00:00:00</v>
      </c>
      <c r="G50" t="str">
        <f>("2005")</f>
        <v>2005</v>
      </c>
      <c r="H50" t="str">
        <f>("大林慈院醫倫、醫法區")</f>
        <v>大林慈院醫倫、醫法區</v>
      </c>
    </row>
    <row r="51" spans="1:9">
      <c r="A51" t="str">
        <f>("D0009921")</f>
        <v>D0009921</v>
      </c>
      <c r="B51" t="str">
        <f>("世界醫師會醫學倫理手冊 /")</f>
        <v>世界醫師會醫學倫理手冊 /</v>
      </c>
      <c r="C51" t="str">
        <f>("威廉斯(Williams, John R. (John Reynold), 1942-) ")</f>
        <v xml:space="preserve">威廉斯(Williams, John R. (John Reynold), 1942-) </v>
      </c>
      <c r="D51" t="str">
        <f>("中華民國醫師公會全國聯合會,")</f>
        <v>中華民國醫師公會全國聯合會,</v>
      </c>
      <c r="E51" t="str">
        <f>("410.1619 8365:2 2005 c.2")</f>
        <v>410.1619 8365:2 2005 c.2</v>
      </c>
      <c r="F51" t="str">
        <f>("2013/10/01 00:00:00")</f>
        <v>2013/10/01 00:00:00</v>
      </c>
      <c r="G51" t="str">
        <f>("2005")</f>
        <v>2005</v>
      </c>
      <c r="H51" t="str">
        <f>("大林慈院醫倫、醫法區")</f>
        <v>大林慈院醫倫、醫法區</v>
      </c>
    </row>
    <row r="52" spans="1:9">
      <c r="A52" t="str">
        <f>("D0011239")</f>
        <v>D0011239</v>
      </c>
      <c r="B52" t="str">
        <f>("醫療.法律.倫理 /")</f>
        <v>醫療.法律.倫理 /</v>
      </c>
      <c r="C52" t="str">
        <f>("曾淑瑜著")</f>
        <v>曾淑瑜著</v>
      </c>
      <c r="D52" t="str">
        <f>("元照,")</f>
        <v>元照,</v>
      </c>
      <c r="E52" t="str">
        <f>("410.1619 8365-2 2007")</f>
        <v>410.1619 8365-2 2007</v>
      </c>
      <c r="F52" t="str">
        <f>("2013/10/01 00:00:00")</f>
        <v>2013/10/01 00:00:00</v>
      </c>
      <c r="G52" t="str">
        <f>("2007")</f>
        <v>2007</v>
      </c>
      <c r="H52" t="str">
        <f>("大林慈院醫倫、醫法區")</f>
        <v>大林慈院醫倫、醫法區</v>
      </c>
    </row>
    <row r="53" spans="1:9">
      <c r="A53" t="str">
        <f>("D0015708")</f>
        <v>D0015708</v>
      </c>
      <c r="B53" t="str">
        <f>("醫療倫理與法律15講 / ")</f>
        <v xml:space="preserve">醫療倫理與法律15講 / </v>
      </c>
      <c r="C53" t="str">
        <f>("曾淑瑜")</f>
        <v>曾淑瑜</v>
      </c>
      <c r="D53" t="str">
        <f>("元照, ")</f>
        <v xml:space="preserve">元照, </v>
      </c>
      <c r="E53" t="str">
        <f>("410.1619 8365-3 2016")</f>
        <v>410.1619 8365-3 2016</v>
      </c>
      <c r="F53" t="str">
        <f>("2017/06/09 00:00:00")</f>
        <v>2017/06/09 00:00:00</v>
      </c>
      <c r="G53" t="str">
        <f>("2016")</f>
        <v>2016</v>
      </c>
      <c r="H53" t="str">
        <f>("大林慈院醫倫、醫法區")</f>
        <v>大林慈院醫倫、醫法區</v>
      </c>
      <c r="I53" t="str">
        <f>("學習資源組 ")</f>
        <v xml:space="preserve">學習資源組 </v>
      </c>
    </row>
    <row r="54" spans="1:9">
      <c r="A54" t="str">
        <f>("D0004630")</f>
        <v>D0004630</v>
      </c>
      <c r="B54" t="str">
        <f>("天使的眼睛 :臺灣第一本基督徒醫療倫理的告白 /")</f>
        <v>天使的眼睛 :臺灣第一本基督徒醫療倫理的告白 /</v>
      </c>
      <c r="C54" t="str">
        <f>("黃勝雄(醫學) ")</f>
        <v xml:space="preserve">黃勝雄(醫學) </v>
      </c>
      <c r="D54" t="str">
        <f>("門諾醫院發行,")</f>
        <v>門諾醫院發行,</v>
      </c>
      <c r="E54" t="str">
        <f>("410.1619 8384 2000")</f>
        <v>410.1619 8384 2000</v>
      </c>
      <c r="F54" t="str">
        <f>("2013/10/01 00:00:00")</f>
        <v>2013/10/01 00:00:00</v>
      </c>
      <c r="G54" t="str">
        <f>("2000")</f>
        <v>2000</v>
      </c>
      <c r="H54" t="str">
        <f>("大林慈院醫倫、醫法區")</f>
        <v>大林慈院醫倫、醫法區</v>
      </c>
    </row>
    <row r="55" spans="1:9">
      <c r="A55" t="str">
        <f>("D0005190")</f>
        <v>D0005190</v>
      </c>
      <c r="B55" t="str">
        <f>("醫學倫理學 /")</f>
        <v>醫學倫理學 /</v>
      </c>
      <c r="C55" t="str">
        <f>("郭宗正 ")</f>
        <v xml:space="preserve">郭宗正 </v>
      </c>
      <c r="D55" t="str">
        <f>("台南郭綜合醫院,")</f>
        <v>台南郭綜合醫院,</v>
      </c>
      <c r="E55" t="str">
        <f>("410.1619 8424 2004")</f>
        <v>410.1619 8424 2004</v>
      </c>
      <c r="F55" t="str">
        <f>("2013/10/01 00:00:00")</f>
        <v>2013/10/01 00:00:00</v>
      </c>
      <c r="G55" t="str">
        <f>("2004")</f>
        <v>2004</v>
      </c>
      <c r="H55" t="str">
        <f>("大林慈院醫倫、醫法區")</f>
        <v>大林慈院醫倫、醫法區</v>
      </c>
    </row>
    <row r="56" spans="1:9">
      <c r="A56" t="str">
        <f>("D0015032")</f>
        <v>D0015032</v>
      </c>
      <c r="B56" t="str">
        <f>("藍色簾子 = 21 true stories abut medical ethics : 敘事醫學倫理故事集 / ")</f>
        <v xml:space="preserve">藍色簾子 = 21 true stories abut medical ethics : 敘事醫學倫理故事集 / </v>
      </c>
      <c r="C56" t="str">
        <f>("王心運編著")</f>
        <v>王心運編著</v>
      </c>
      <c r="D56" t="str">
        <f>("高雄醫學大學, ")</f>
        <v xml:space="preserve">高雄醫學大學, </v>
      </c>
      <c r="E56" t="str">
        <f>("410.1619 8426 2016")</f>
        <v>410.1619 8426 2016</v>
      </c>
      <c r="F56" t="str">
        <f>("2017/06/16 00:00:00")</f>
        <v>2017/06/16 00:00:00</v>
      </c>
      <c r="G56" t="str">
        <f>("2016")</f>
        <v>2016</v>
      </c>
      <c r="H56" t="str">
        <f>("大林慈院醫倫、醫法區")</f>
        <v>大林慈院醫倫、醫法區</v>
      </c>
      <c r="I56" t="str">
        <f>("學習資源組 ")</f>
        <v xml:space="preserve">學習資源組 </v>
      </c>
    </row>
    <row r="57" spans="1:9">
      <c r="A57" t="str">
        <f>("D0012778")</f>
        <v>D0012778</v>
      </c>
      <c r="B57" t="str">
        <f>("醫病雙贏 =Issue on medical ethics &amp; patient safety :")</f>
        <v>醫病雙贏 =Issue on medical ethics &amp; patient safety :</v>
      </c>
      <c r="C57" t="str">
        <f>("澄清基金會 ")</f>
        <v xml:space="preserve">澄清基金會 </v>
      </c>
      <c r="D57" t="str">
        <f>("澄清基金會,")</f>
        <v>澄清基金會,</v>
      </c>
      <c r="E57" t="str">
        <f>("410.1619 8429 2012")</f>
        <v>410.1619 8429 2012</v>
      </c>
      <c r="F57" t="str">
        <f>("2013/10/01 00:00:00")</f>
        <v>2013/10/01 00:00:00</v>
      </c>
      <c r="G57" t="str">
        <f>("2012")</f>
        <v>2012</v>
      </c>
      <c r="H57" t="str">
        <f>("大林慈院醫倫、醫法區")</f>
        <v>大林慈院醫倫、醫法區</v>
      </c>
    </row>
    <row r="58" spans="1:9">
      <c r="A58" t="str">
        <f>("D0016136")</f>
        <v>D0016136</v>
      </c>
      <c r="B58" t="str">
        <f>("醫病雙贏.醫學倫理暨病人安全論壇 = Issue on medical ethics &amp; patient safety / 第二輯 :")</f>
        <v>醫病雙贏.醫學倫理暨病人安全論壇 = Issue on medical ethics &amp; patient safety / 第二輯 :</v>
      </c>
      <c r="C58" t="str">
        <f>("")</f>
        <v/>
      </c>
      <c r="D58" t="str">
        <f>("財團法人澄清基金會,")</f>
        <v>財團法人澄清基金會,</v>
      </c>
      <c r="E58" t="str">
        <f>("410.1619 8429 2018 V2")</f>
        <v>410.1619 8429 2018 V2</v>
      </c>
      <c r="F58" t="str">
        <f>("2013/10/01 00:00:00")</f>
        <v>2013/10/01 00:00:00</v>
      </c>
      <c r="G58" t="str">
        <f>("2018")</f>
        <v>2018</v>
      </c>
      <c r="H58" t="str">
        <f>("大林慈院醫倫、醫法區")</f>
        <v>大林慈院醫倫、醫法區</v>
      </c>
    </row>
    <row r="59" spans="1:9">
      <c r="A59" t="str">
        <f>("D0015690")</f>
        <v>D0015690</v>
      </c>
      <c r="B59" t="str">
        <f>("醫學倫理 /")</f>
        <v>醫學倫理 /</v>
      </c>
      <c r="C59" t="str">
        <f>("霍普(Hope, Tony) ")</f>
        <v xml:space="preserve">霍普(Hope, Tony) </v>
      </c>
      <c r="D59" t="str">
        <f>("牛津大學出版社],")</f>
        <v>牛津大學出版社],</v>
      </c>
      <c r="E59" t="str">
        <f>("410.1619 843 2016")</f>
        <v>410.1619 843 2016</v>
      </c>
      <c r="F59" t="str">
        <f>("2017/06/09 00:00:00")</f>
        <v>2017/06/09 00:00:00</v>
      </c>
      <c r="G59" t="str">
        <f>("2016")</f>
        <v>2016</v>
      </c>
      <c r="H59" t="str">
        <f>("大林慈院醫倫、醫法區")</f>
        <v>大林慈院醫倫、醫法區</v>
      </c>
      <c r="I59" t="str">
        <f>("學習資源組")</f>
        <v>學習資源組</v>
      </c>
    </row>
    <row r="60" spans="1:9">
      <c r="A60" t="str">
        <f>("D0006823")</f>
        <v>D0006823</v>
      </c>
      <c r="B60" t="str">
        <f>("醫學倫理小班教學 :案例與討論題綱 /")</f>
        <v>醫學倫理小班教學 :案例與討論題綱 /</v>
      </c>
      <c r="C60" t="str">
        <f>("蔡甫昌 ")</f>
        <v xml:space="preserve">蔡甫昌 </v>
      </c>
      <c r="D60" t="str">
        <f>("醫院評鑑暨醫療品質策進會出版,")</f>
        <v>醫院評鑑暨醫療品質策進會出版,</v>
      </c>
      <c r="E60" t="str">
        <f>("410.1619 8435 2006")</f>
        <v>410.1619 8435 2006</v>
      </c>
      <c r="F60" t="str">
        <f>("2013/10/01 00:00:00")</f>
        <v>2013/10/01 00:00:00</v>
      </c>
      <c r="G60" t="str">
        <f>("2006")</f>
        <v>2006</v>
      </c>
      <c r="H60" t="str">
        <f>("大林慈院醫倫、醫法區")</f>
        <v>大林慈院醫倫、醫法區</v>
      </c>
    </row>
    <row r="61" spans="1:9">
      <c r="A61" t="str">
        <f>("D0009325")</f>
        <v>D0009325</v>
      </c>
      <c r="B61" t="str">
        <f>("醫學倫理小班教學 :案例與討論題綱 /")</f>
        <v>醫學倫理小班教學 :案例與討論題綱 /</v>
      </c>
      <c r="C61" t="str">
        <f>("蔡甫昌 ")</f>
        <v xml:space="preserve">蔡甫昌 </v>
      </c>
      <c r="D61" t="str">
        <f>("醫院評鑑暨醫療品質策進會出版,")</f>
        <v>醫院評鑑暨醫療品質策進會出版,</v>
      </c>
      <c r="E61" t="str">
        <f>("410.1619 8435 2006 c.2")</f>
        <v>410.1619 8435 2006 c.2</v>
      </c>
      <c r="F61" t="str">
        <f>("2013/10/01 00:00:00")</f>
        <v>2013/10/01 00:00:00</v>
      </c>
      <c r="G61" t="str">
        <f>("2006")</f>
        <v>2006</v>
      </c>
      <c r="H61" t="str">
        <f>("大林慈院醫倫、醫法區")</f>
        <v>大林慈院醫倫、醫法區</v>
      </c>
    </row>
    <row r="62" spans="1:9">
      <c r="A62" t="str">
        <f>("D0014435")</f>
        <v>D0014435</v>
      </c>
      <c r="B62" t="str">
        <f>("扭曲的醫學 : 醫師.病人與無效醫療 / ")</f>
        <v xml:space="preserve">扭曲的醫學 : 醫師.病人與無效醫療 / </v>
      </c>
      <c r="C62" t="str">
        <f>("施奈德曼(Schneiderman, Lawrence J.)原著 ")</f>
        <v xml:space="preserve">施奈德曼(Schneiderman, Lawrence J.)原著 </v>
      </c>
      <c r="D62" t="str">
        <f>("合記, ")</f>
        <v xml:space="preserve">合記, </v>
      </c>
      <c r="E62" t="str">
        <f>("410.1619 8435:2 2015")</f>
        <v>410.1619 8435:2 2015</v>
      </c>
      <c r="F62" t="str">
        <f>("2015/06/04 00:00:00")</f>
        <v>2015/06/04 00:00:00</v>
      </c>
      <c r="G62" t="str">
        <f>("2015")</f>
        <v>2015</v>
      </c>
      <c r="H62" t="str">
        <f>("大林慈院醫倫、醫法區")</f>
        <v>大林慈院醫倫、醫法區</v>
      </c>
      <c r="I62" t="str">
        <f>("中醫部")</f>
        <v>中醫部</v>
      </c>
    </row>
    <row r="63" spans="1:9">
      <c r="A63" t="str">
        <f>("D0008449")</f>
        <v>D0008449</v>
      </c>
      <c r="B63" t="str">
        <f>("臨床倫理委員會常見問答集Q &amp; A =Clinical Ethics Committee Q&amp; A /")</f>
        <v>臨床倫理委員會常見問答集Q &amp; A =Clinical Ethics Committee Q&amp; A /</v>
      </c>
      <c r="C63" t="str">
        <f>("蔡甫昌 ")</f>
        <v xml:space="preserve">蔡甫昌 </v>
      </c>
      <c r="D63" t="str">
        <f>("行政院衛生署,")</f>
        <v>行政院衛生署,</v>
      </c>
      <c r="E63" t="str">
        <f>("410.1619 8435-2 2005")</f>
        <v>410.1619 8435-2 2005</v>
      </c>
      <c r="F63" t="str">
        <f>("2013/10/01 00:00:00")</f>
        <v>2013/10/01 00:00:00</v>
      </c>
      <c r="G63" t="str">
        <f>("2005")</f>
        <v>2005</v>
      </c>
      <c r="H63" t="str">
        <f>("大林慈院醫倫、醫法區")</f>
        <v>大林慈院醫倫、醫法區</v>
      </c>
    </row>
    <row r="64" spans="1:9">
      <c r="A64" t="str">
        <f>("D0008450")</f>
        <v>D0008450</v>
      </c>
      <c r="B64" t="str">
        <f>("臨床倫理委員會常見問答集Q &amp; A =Clinical Ethics Committee Q&amp; A /")</f>
        <v>臨床倫理委員會常見問答集Q &amp; A =Clinical Ethics Committee Q&amp; A /</v>
      </c>
      <c r="C64" t="str">
        <f>("蔡甫昌 ")</f>
        <v xml:space="preserve">蔡甫昌 </v>
      </c>
      <c r="D64" t="str">
        <f>("行政院衛生署,")</f>
        <v>行政院衛生署,</v>
      </c>
      <c r="E64" t="str">
        <f>("410.1619 8435-2 2005 c.2")</f>
        <v>410.1619 8435-2 2005 c.2</v>
      </c>
      <c r="F64" t="str">
        <f>("2013/10/01 00:00:00")</f>
        <v>2013/10/01 00:00:00</v>
      </c>
      <c r="G64" t="str">
        <f>("2005")</f>
        <v>2005</v>
      </c>
      <c r="H64" t="str">
        <f>("大林慈院醫倫、醫法區")</f>
        <v>大林慈院醫倫、醫法區</v>
      </c>
    </row>
    <row r="65" spans="1:9">
      <c r="A65" t="str">
        <f>("D0002763")</f>
        <v>D0002763</v>
      </c>
      <c r="B65" t="str">
        <f>("醫療倫理諮詢 =Clinical ethics consultation:Theory and practice :")</f>
        <v>醫療倫理諮詢 =Clinical ethics consultation:Theory and practice :</v>
      </c>
      <c r="C65" t="str">
        <f>("郭素珍著 ")</f>
        <v xml:space="preserve">郭素珍著 </v>
      </c>
      <c r="D65" t="str">
        <f>("五南,")</f>
        <v>五南,</v>
      </c>
      <c r="E65" t="str">
        <f>("410.1619 8436 2008")</f>
        <v>410.1619 8436 2008</v>
      </c>
      <c r="F65" t="str">
        <f>("2013/10/01 00:00:00")</f>
        <v>2013/10/01 00:00:00</v>
      </c>
      <c r="G65" t="str">
        <f>("2008")</f>
        <v>2008</v>
      </c>
      <c r="H65" t="str">
        <f>("大林慈院醫倫、醫法區")</f>
        <v>大林慈院醫倫、醫法區</v>
      </c>
      <c r="I65" t="str">
        <f>("專案經費")</f>
        <v>專案經費</v>
      </c>
    </row>
    <row r="66" spans="1:9">
      <c r="A66" t="str">
        <f>("D0011957")</f>
        <v>D0011957</v>
      </c>
      <c r="B66" t="str">
        <f>("倫理師的聲影 /")</f>
        <v>倫理師的聲影 /</v>
      </c>
      <c r="C66" t="str">
        <f>("詹納(Zaner, Richard M.) ")</f>
        <v xml:space="preserve">詹納(Zaner, Richard M.) </v>
      </c>
      <c r="D66" t="str">
        <f>("政大出版社出版,")</f>
        <v>政大出版社出版,</v>
      </c>
      <c r="E66" t="str">
        <f>("410.1619 8473 2008")</f>
        <v>410.1619 8473 2008</v>
      </c>
      <c r="F66" t="str">
        <f>("2013/10/01 00:00:00")</f>
        <v>2013/10/01 00:00:00</v>
      </c>
      <c r="G66" t="str">
        <f>("2008")</f>
        <v>2008</v>
      </c>
      <c r="H66" t="str">
        <f>("大林慈院醫倫、醫法區")</f>
        <v>大林慈院醫倫、醫法區</v>
      </c>
      <c r="I66" t="str">
        <f>("專案經費")</f>
        <v>專案經費</v>
      </c>
    </row>
    <row r="67" spans="1:9">
      <c r="A67" t="str">
        <f>("D0011007")</f>
        <v>D0011007</v>
      </c>
      <c r="B67" t="str">
        <f>("急診有關的醫療倫理與法律 /")</f>
        <v>急診有關的醫療倫理與法律 /</v>
      </c>
      <c r="C67" t="str">
        <f>("胡勝川 ")</f>
        <v xml:space="preserve">胡勝川 </v>
      </c>
      <c r="D67" t="str">
        <f>("金名圖書,")</f>
        <v>金名圖書,</v>
      </c>
      <c r="E67" t="str">
        <f>("410.1619 8487 2008")</f>
        <v>410.1619 8487 2008</v>
      </c>
      <c r="F67" t="str">
        <f>("2013/10/01 00:00:00")</f>
        <v>2013/10/01 00:00:00</v>
      </c>
      <c r="G67" t="str">
        <f>("2008")</f>
        <v>2008</v>
      </c>
      <c r="H67" t="str">
        <f>("大林慈院醫倫、醫法區")</f>
        <v>大林慈院醫倫、醫法區</v>
      </c>
      <c r="I67" t="str">
        <f>("學習資源組")</f>
        <v>學習資源組</v>
      </c>
    </row>
    <row r="68" spans="1:9">
      <c r="A68" t="str">
        <f>("D0014437")</f>
        <v>D0014437</v>
      </c>
      <c r="B68" t="str">
        <f>("臨床倫理學 :臨床醫學倫理的實務導引 /")</f>
        <v>臨床倫理學 :臨床醫學倫理的實務導引 /</v>
      </c>
      <c r="C68" t="str">
        <f>("約恩森(Jonsen, Albert R.) ")</f>
        <v xml:space="preserve">約恩森(Jonsen, Albert R.) </v>
      </c>
      <c r="D68" t="str">
        <f>("麥格羅希爾, 合記,")</f>
        <v>麥格羅希爾, 合記,</v>
      </c>
      <c r="E68" t="str">
        <f>("410.1619 8547 2014")</f>
        <v>410.1619 8547 2014</v>
      </c>
      <c r="F68" t="str">
        <f>("2015/06/04 00:00:00")</f>
        <v>2015/06/04 00:00:00</v>
      </c>
      <c r="G68" t="str">
        <f>("2014")</f>
        <v>2014</v>
      </c>
      <c r="H68" t="str">
        <f>("大林慈院醫倫、醫法區")</f>
        <v>大林慈院醫倫、醫法區</v>
      </c>
      <c r="I68" t="str">
        <f>("中醫部 ")</f>
        <v xml:space="preserve">中醫部 </v>
      </c>
    </row>
    <row r="69" spans="1:9">
      <c r="A69" t="str">
        <f>("D0016750")</f>
        <v>D0016750</v>
      </c>
      <c r="B69" t="str">
        <f>("醫護倫理與法律 = Ethics and law for health care case studies : 案例分析 / ")</f>
        <v xml:space="preserve">醫護倫理與法律 = Ethics and law for health care case studies : 案例分析 / </v>
      </c>
      <c r="C69" t="str">
        <f>("屈蓮編著")</f>
        <v>屈蓮編著</v>
      </c>
      <c r="D69" t="str">
        <f>("新文京開發, ")</f>
        <v xml:space="preserve">新文京開發, </v>
      </c>
      <c r="E69" t="str">
        <f>("410.1619 858 2018")</f>
        <v>410.1619 858 2018</v>
      </c>
      <c r="F69" t="str">
        <f>("2021/06/18 00:00:00")</f>
        <v>2021/06/18 00:00:00</v>
      </c>
      <c r="G69" t="str">
        <f>("2018")</f>
        <v>2018</v>
      </c>
      <c r="H69" t="str">
        <f>("大林慈院醫倫、醫法區")</f>
        <v>大林慈院醫倫、醫法區</v>
      </c>
      <c r="I69" t="str">
        <f>("護理部")</f>
        <v>護理部</v>
      </c>
    </row>
    <row r="70" spans="1:9">
      <c r="A70" t="str">
        <f>("D0016724")</f>
        <v>D0016724</v>
      </c>
      <c r="B70" t="str">
        <f>("醫學倫理實務.Practice of medical ethics.第3輯 =")</f>
        <v>醫學倫理實務.Practice of medical ethics.第3輯 =</v>
      </c>
      <c r="C70" t="str">
        <f>("潘,慧本(醫學),編輯;陶,宏洋,編輯;周,康茹,編輯")</f>
        <v>潘,慧本(醫學),編輯;陶,宏洋,編輯;周,康茹,編輯</v>
      </c>
      <c r="D70" t="str">
        <f>("高雄榮民總醫院,")</f>
        <v>高雄榮民總醫院,</v>
      </c>
      <c r="E70" t="str">
        <f>("410.1619 8665 2020")</f>
        <v>410.1619 8665 2020</v>
      </c>
      <c r="F70" t="str">
        <f>("2021/06/18 00:00:00")</f>
        <v>2021/06/18 00:00:00</v>
      </c>
      <c r="G70" t="str">
        <f>("2020")</f>
        <v>2020</v>
      </c>
      <c r="H70" t="str">
        <f>("大林慈院醫倫、醫法區")</f>
        <v>大林慈院醫倫、醫法區</v>
      </c>
      <c r="I70" t="str">
        <f>("學習資源組")</f>
        <v>學習資源組</v>
      </c>
    </row>
    <row r="71" spans="1:9">
      <c r="A71" t="str">
        <f>("D0004135")</f>
        <v>D0004135</v>
      </c>
      <c r="B71" t="str">
        <f>("山城杏話 :醫學生談醫學倫理 /")</f>
        <v>山城杏話 :醫學生談醫學倫理 /</v>
      </c>
      <c r="C71" t="str">
        <f>("楊文東")</f>
        <v>楊文東</v>
      </c>
      <c r="D71" t="str">
        <f>("合記,")</f>
        <v>合記,</v>
      </c>
      <c r="E71" t="str">
        <f>("410.1619 8667 1996")</f>
        <v>410.1619 8667 1996</v>
      </c>
      <c r="F71" t="str">
        <f>("2013/10/01 00:00:00")</f>
        <v>2013/10/01 00:00:00</v>
      </c>
      <c r="G71" t="str">
        <f>("1996")</f>
        <v>1996</v>
      </c>
      <c r="H71" t="str">
        <f>("大林慈院醫倫、醫法區")</f>
        <v>大林慈院醫倫、醫法區</v>
      </c>
    </row>
    <row r="72" spans="1:9">
      <c r="A72" t="str">
        <f>("D0010479")</f>
        <v>D0010479</v>
      </c>
      <c r="B72" t="str">
        <f>("多元社會的醫學倫理 / ")</f>
        <v xml:space="preserve">多元社會的醫學倫理 / </v>
      </c>
      <c r="C72" t="str">
        <f>("于一平主編")</f>
        <v>于一平主編</v>
      </c>
      <c r="D72" t="str">
        <f>("基督路加傳道會出版社, ")</f>
        <v xml:space="preserve">基督路加傳道會出版社, </v>
      </c>
      <c r="E72" t="str">
        <f>("410.1619 8735 2005")</f>
        <v>410.1619 8735 2005</v>
      </c>
      <c r="F72" t="str">
        <f>("2013/10/01 00:00:00")</f>
        <v>2013/10/01 00:00:00</v>
      </c>
      <c r="G72" t="str">
        <f>("2005")</f>
        <v>2005</v>
      </c>
      <c r="H72" t="str">
        <f>("大林慈院醫倫、醫法區")</f>
        <v>大林慈院醫倫、醫法區</v>
      </c>
    </row>
    <row r="73" spans="1:9">
      <c r="A73" t="str">
        <f>("D0015775")</f>
        <v>D0015775</v>
      </c>
      <c r="B73" t="str">
        <f>("白色倒影 :敘事醫學倫理故事集 = 22 true stories about medical ethics/ ")</f>
        <v xml:space="preserve">白色倒影 :敘事醫學倫理故事集 = 22 true stories about medical ethics/ </v>
      </c>
      <c r="C73" t="str">
        <f>("林慧如編著")</f>
        <v>林慧如編著</v>
      </c>
      <c r="D73" t="str">
        <f>("高雄醫學大學, ")</f>
        <v xml:space="preserve">高雄醫學大學, </v>
      </c>
      <c r="E73" t="str">
        <f>("410.1619 8736 2015")</f>
        <v>410.1619 8736 2015</v>
      </c>
      <c r="F73" t="str">
        <f>("2017/09/28 00:00:00")</f>
        <v>2017/09/28 00:00:00</v>
      </c>
      <c r="G73" t="str">
        <f>("2015")</f>
        <v>2015</v>
      </c>
      <c r="H73" t="str">
        <f>("大林慈院醫倫、醫法區")</f>
        <v>大林慈院醫倫、醫法區</v>
      </c>
      <c r="I73" t="str">
        <f>("醫學教育組 ")</f>
        <v xml:space="preserve">醫學教育組 </v>
      </c>
    </row>
    <row r="74" spans="1:9">
      <c r="A74" t="str">
        <f>("D0016645")</f>
        <v>D0016645</v>
      </c>
      <c r="B74" t="str">
        <f>("實習醫聲 = 14 True stories about medical ethics : 敘事醫學倫理故事集 / ")</f>
        <v xml:space="preserve">實習醫聲 = 14 True stories about medical ethics : 敘事醫學倫理故事集 / </v>
      </c>
      <c r="C74" t="str">
        <f>("林慧如編著")</f>
        <v>林慧如編著</v>
      </c>
      <c r="D74" t="str">
        <f>("高醫大,麗文文化, ")</f>
        <v xml:space="preserve">高醫大,麗文文化, </v>
      </c>
      <c r="E74" t="str">
        <f>("410.1619 8736-2 2018")</f>
        <v>410.1619 8736-2 2018</v>
      </c>
      <c r="F74" t="str">
        <f>("2021/06/09 00:00:00")</f>
        <v>2021/06/09 00:00:00</v>
      </c>
      <c r="G74" t="str">
        <f>("2018")</f>
        <v>2018</v>
      </c>
      <c r="H74" t="str">
        <f>("大林慈院醫倫、醫法區")</f>
        <v>大林慈院醫倫、醫法區</v>
      </c>
      <c r="I74" t="str">
        <f>("學習資源組")</f>
        <v>學習資源組</v>
      </c>
    </row>
    <row r="75" spans="1:9">
      <c r="A75" t="str">
        <f>("D0016646")</f>
        <v>D0016646</v>
      </c>
      <c r="B75" t="str">
        <f>("心的時差: 敘事醫學倫理故事集. 精神醫學篇 /")</f>
        <v>心的時差: 敘事醫學倫理故事集. 精神醫學篇 /</v>
      </c>
      <c r="C75" t="str">
        <f>("林慧如 ")</f>
        <v xml:space="preserve">林慧如 </v>
      </c>
      <c r="D75" t="str">
        <f>("高醫大醫學系,")</f>
        <v>高醫大醫學系,</v>
      </c>
      <c r="E75" t="str">
        <f>("410.1619 8736-3 2020")</f>
        <v>410.1619 8736-3 2020</v>
      </c>
      <c r="F75" t="str">
        <f>("2021/06/09 00:00:00")</f>
        <v>2021/06/09 00:00:00</v>
      </c>
      <c r="G75" t="str">
        <f>("2020")</f>
        <v>2020</v>
      </c>
      <c r="H75" t="str">
        <f>("大林慈院醫倫、醫法區")</f>
        <v>大林慈院醫倫、醫法區</v>
      </c>
      <c r="I75" t="str">
        <f>("學習資源組")</f>
        <v>學習資源組</v>
      </c>
    </row>
    <row r="76" spans="1:9">
      <c r="A76" t="str">
        <f>("D0005799")</f>
        <v>D0005799</v>
      </c>
      <c r="B76" t="str">
        <f>("臺灣醫療道德之演變 :若干歷程及個案探討 /")</f>
        <v>臺灣醫療道德之演變 :若干歷程及個案探討 /</v>
      </c>
      <c r="C76" t="str">
        <f>("林國煌(衛生學) ")</f>
        <v xml:space="preserve">林國煌(衛生學) </v>
      </c>
      <c r="D76" t="str">
        <f>("國家衛生研究院,")</f>
        <v>國家衛生研究院,</v>
      </c>
      <c r="E76" t="str">
        <f>("410.1619 8753 2003")</f>
        <v>410.1619 8753 2003</v>
      </c>
      <c r="F76" t="str">
        <f>("2013/10/01 00:00:00")</f>
        <v>2013/10/01 00:00:00</v>
      </c>
      <c r="G76" t="str">
        <f>("2003")</f>
        <v>2003</v>
      </c>
      <c r="H76" t="str">
        <f>("大林慈院醫倫、醫法區")</f>
        <v>大林慈院醫倫、醫法區</v>
      </c>
    </row>
    <row r="77" spans="1:9">
      <c r="A77" t="str">
        <f>("D0015610")</f>
        <v>D0015610</v>
      </c>
      <c r="B77" t="str">
        <f>("關懷倫理與對話療癒 :醫護人文學的哲學探究 /")</f>
        <v>關懷倫理與對話療癒 :醫護人文學的哲學探究 /</v>
      </c>
      <c r="C77" t="str">
        <f>("林遠澤 ")</f>
        <v xml:space="preserve">林遠澤 </v>
      </c>
      <c r="D77" t="str">
        <f>("五南圖書,")</f>
        <v>五南圖書,</v>
      </c>
      <c r="E77" t="str">
        <f>("410.1619 8774 2015")</f>
        <v>410.1619 8774 2015</v>
      </c>
      <c r="F77" t="str">
        <f>("2017/06/09 00:00:00")</f>
        <v>2017/06/09 00:00:00</v>
      </c>
      <c r="G77" t="str">
        <f>("2015")</f>
        <v>2015</v>
      </c>
      <c r="H77" t="str">
        <f>("大林慈院醫倫、醫法區")</f>
        <v>大林慈院醫倫、醫法區</v>
      </c>
      <c r="I77" t="str">
        <f>("學習資源組")</f>
        <v>學習資源組</v>
      </c>
    </row>
    <row r="78" spans="1:9">
      <c r="A78" t="str">
        <f>("D0006351")</f>
        <v>D0006351</v>
      </c>
      <c r="B78" t="str">
        <f>("醫療社會學 /")</f>
        <v>醫療社會學 /</v>
      </c>
      <c r="C78" t="str">
        <f>("廖榮利 ;藍采風 ")</f>
        <v xml:space="preserve">廖榮利 ;藍采風 </v>
      </c>
      <c r="D78" t="str">
        <f>("三民,")</f>
        <v>三民,</v>
      </c>
      <c r="E78" t="str">
        <f>("410.2 8776 1992")</f>
        <v>410.2 8776 1992</v>
      </c>
      <c r="F78" t="str">
        <f>("2013/10/01 00:00:00")</f>
        <v>2013/10/01 00:00:00</v>
      </c>
      <c r="G78" t="str">
        <f>("1992")</f>
        <v>1992</v>
      </c>
      <c r="H78" t="str">
        <f>("大林慈院醫倫、醫法區")</f>
        <v>大林慈院醫倫、醫法區</v>
      </c>
    </row>
    <row r="79" spans="1:9">
      <c r="A79" t="str">
        <f>("D0006192")</f>
        <v>D0006192</v>
      </c>
      <c r="B79" t="str">
        <f>("看診法門 :醫療倫理與法律 /")</f>
        <v>看診法門 :醫療倫理與法律 /</v>
      </c>
      <c r="C79" t="str">
        <f>("文衍正 ")</f>
        <v xml:space="preserve">文衍正 </v>
      </c>
      <c r="D79" t="str">
        <f>("永然文化出版,")</f>
        <v>永然文化出版,</v>
      </c>
      <c r="E79" t="str">
        <f>("412.12 8674 2000")</f>
        <v>412.12 8674 2000</v>
      </c>
      <c r="F79" t="str">
        <f>("2013/10/01 00:00:00")</f>
        <v>2013/10/01 00:00:00</v>
      </c>
      <c r="G79" t="str">
        <f>("2000")</f>
        <v>2000</v>
      </c>
      <c r="H79" t="str">
        <f>("大林慈院醫倫、醫法區")</f>
        <v>大林慈院醫倫、醫法區</v>
      </c>
    </row>
    <row r="80" spans="1:9">
      <c r="A80" t="str">
        <f>("D0015755")</f>
        <v>D0015755</v>
      </c>
      <c r="B80" t="str">
        <f>("醫病關係與法律風險管理防範 /")</f>
        <v>醫病關係與法律風險管理防範 /</v>
      </c>
      <c r="C80" t="str">
        <f>("施,茂林 ")</f>
        <v xml:space="preserve">施,茂林 </v>
      </c>
      <c r="D80" t="str">
        <f>("五南,")</f>
        <v>五南,</v>
      </c>
      <c r="E80" t="str">
        <f>("412.21 8447 2015")</f>
        <v>412.21 8447 2015</v>
      </c>
      <c r="F80" t="str">
        <f>("2017/09/28 00:00:00")</f>
        <v>2017/09/28 00:00:00</v>
      </c>
      <c r="G80" t="str">
        <f>("2015")</f>
        <v>2015</v>
      </c>
      <c r="H80" t="str">
        <f>("大林慈院醫倫、醫法區")</f>
        <v>大林慈院醫倫、醫法區</v>
      </c>
      <c r="I80" t="str">
        <f>("學習資源組")</f>
        <v>學習資源組</v>
      </c>
    </row>
    <row r="81" spans="1:9">
      <c r="A81" t="str">
        <f>("D0015031")</f>
        <v>D0015031</v>
      </c>
      <c r="B81" t="str">
        <f>("醫護法律與倫理 =Health care and nursing : law and ethics/")</f>
        <v>醫護法律與倫理 =Health care and nursing : law and ethics/</v>
      </c>
      <c r="C81" t="str">
        <f>("屈蓮 ")</f>
        <v xml:space="preserve">屈蓮 </v>
      </c>
      <c r="D81" t="str">
        <f>("新文京開發,")</f>
        <v>新文京開發,</v>
      </c>
      <c r="E81" t="str">
        <f>("412.21 858-2 2015")</f>
        <v>412.21 858-2 2015</v>
      </c>
      <c r="F81" t="str">
        <f>("2017/06/09 00:00:00")</f>
        <v>2017/06/09 00:00:00</v>
      </c>
      <c r="G81" t="str">
        <f>("2015")</f>
        <v>2015</v>
      </c>
      <c r="H81" t="str">
        <f>("大林慈院醫倫、醫法區")</f>
        <v>大林慈院醫倫、醫法區</v>
      </c>
      <c r="I81" t="str">
        <f>("學習資源組")</f>
        <v>學習資源組</v>
      </c>
    </row>
    <row r="82" spans="1:9">
      <c r="A82" t="str">
        <f>("D0015644")</f>
        <v>D0015644</v>
      </c>
      <c r="B82" t="str">
        <f>("驗光人員法規與倫理 / ")</f>
        <v xml:space="preserve">驗光人員法規與倫理 / </v>
      </c>
      <c r="C82" t="str">
        <f>("陳惠伶 ")</f>
        <v xml:space="preserve">陳惠伶 </v>
      </c>
      <c r="D82" t="str">
        <f>("新文京, ")</f>
        <v xml:space="preserve">新文京, </v>
      </c>
      <c r="E82" t="str">
        <f>("412.21 8735 2017")</f>
        <v>412.21 8735 2017</v>
      </c>
      <c r="F82" t="str">
        <f>("2017/06/09 00:00:00")</f>
        <v>2017/06/09 00:00:00</v>
      </c>
      <c r="G82" t="str">
        <f>("2017")</f>
        <v>2017</v>
      </c>
      <c r="H82" t="str">
        <f>("大林慈院醫倫、醫法區")</f>
        <v>大林慈院醫倫、醫法區</v>
      </c>
      <c r="I82" t="str">
        <f>("學習資源組")</f>
        <v>學習資源組</v>
      </c>
    </row>
    <row r="83" spans="1:9">
      <c r="A83" t="str">
        <f>("D0013245")</f>
        <v>D0013245</v>
      </c>
      <c r="B83" t="str">
        <f>("醫療法律與醫學倫理 / ")</f>
        <v xml:space="preserve">醫療法律與醫學倫理 / </v>
      </c>
      <c r="C83" t="str">
        <f>("何建志")</f>
        <v>何建志</v>
      </c>
      <c r="D83" t="str">
        <f>("元照, ")</f>
        <v xml:space="preserve">元照, </v>
      </c>
      <c r="E83" t="str">
        <f>("412.21 8773 2013")</f>
        <v>412.21 8773 2013</v>
      </c>
      <c r="F83" t="str">
        <f>("2013/12/17 00:00:00")</f>
        <v>2013/12/17 00:00:00</v>
      </c>
      <c r="G83" t="str">
        <f>("2013")</f>
        <v>2013</v>
      </c>
      <c r="H83" t="str">
        <f>("大林慈院醫倫、醫法區")</f>
        <v>大林慈院醫倫、醫法區</v>
      </c>
      <c r="I83" t="str">
        <f>("學習資源組")</f>
        <v>學習資源組</v>
      </c>
    </row>
    <row r="84" spans="1:9">
      <c r="A84" t="str">
        <f>("D0015688")</f>
        <v>D0015688</v>
      </c>
      <c r="B84" t="str">
        <f>("醫療法律與醫學倫理 /")</f>
        <v>醫療法律與醫學倫理 /</v>
      </c>
      <c r="C84" t="str">
        <f>("何建志著 ")</f>
        <v xml:space="preserve">何建志著 </v>
      </c>
      <c r="D84" t="str">
        <f>("元照,")</f>
        <v>元照,</v>
      </c>
      <c r="E84" t="str">
        <f>("412.21 8773 2016")</f>
        <v>412.21 8773 2016</v>
      </c>
      <c r="F84" t="str">
        <f>("2017/06/09 00:00:00")</f>
        <v>2017/06/09 00:00:00</v>
      </c>
      <c r="G84" t="str">
        <f>("2016")</f>
        <v>2016</v>
      </c>
      <c r="H84" t="str">
        <f>("大林慈院醫倫、醫法區")</f>
        <v>大林慈院醫倫、醫法區</v>
      </c>
      <c r="I84" t="str">
        <f>("學習資源組")</f>
        <v>學習資源組</v>
      </c>
    </row>
    <row r="85" spans="1:9">
      <c r="A85" t="str">
        <f>("D0016458")</f>
        <v>D0016458</v>
      </c>
      <c r="B85" t="str">
        <f>("我應該參加臨床試驗嗎? / ")</f>
        <v xml:space="preserve">我應該參加臨床試驗嗎? / </v>
      </c>
      <c r="C85" t="str">
        <f>("蔡甫昌主編")</f>
        <v>蔡甫昌主編</v>
      </c>
      <c r="D85" t="str">
        <f>("健康世界, ")</f>
        <v xml:space="preserve">健康世界, </v>
      </c>
      <c r="E85" t="str">
        <f>("415.18 8435 2017")</f>
        <v>415.18 8435 2017</v>
      </c>
      <c r="F85" t="str">
        <f>("2020/04/14 00:00:00")</f>
        <v>2020/04/14 00:00:00</v>
      </c>
      <c r="G85" t="str">
        <f>("2017")</f>
        <v>2017</v>
      </c>
      <c r="H85" t="str">
        <f>("大林慈院醫倫、醫法區")</f>
        <v>大林慈院醫倫、醫法區</v>
      </c>
      <c r="I85" t="str">
        <f>("學習資源組")</f>
        <v>學習資源組</v>
      </c>
    </row>
    <row r="86" spans="1:9">
      <c r="A86" t="str">
        <f>("D0010428")</f>
        <v>D0010428</v>
      </c>
      <c r="B86" t="str">
        <f>("醫病關係之倫理 / ")</f>
        <v xml:space="preserve">醫病關係之倫理 / </v>
      </c>
      <c r="C86" t="str">
        <f>("蔡正河作")</f>
        <v>蔡正河作</v>
      </c>
      <c r="D86" t="str">
        <f>("基督路加傳道會, ")</f>
        <v xml:space="preserve">基督路加傳道會, </v>
      </c>
      <c r="E86" t="str">
        <f>("416.1607 8443 2007")</f>
        <v>416.1607 8443 2007</v>
      </c>
      <c r="F86" t="str">
        <f>("2013/10/01 00:00:00")</f>
        <v>2013/10/01 00:00:00</v>
      </c>
      <c r="G86" t="str">
        <f>("2007")</f>
        <v>2007</v>
      </c>
      <c r="H86" t="str">
        <f>("大林慈院醫倫、醫法區")</f>
        <v>大林慈院醫倫、醫法區</v>
      </c>
    </row>
    <row r="87" spans="1:9">
      <c r="A87" t="str">
        <f>("D0013188")</f>
        <v>D0013188</v>
      </c>
      <c r="B87" t="str">
        <f>("醫病互動全紀錄 : 漫畫選集 / ")</f>
        <v xml:space="preserve">醫病互動全紀錄 : 漫畫選集 / </v>
      </c>
      <c r="C87" t="str">
        <f>("")</f>
        <v/>
      </c>
      <c r="D87" t="str">
        <f>("臺北醫學大學, ")</f>
        <v xml:space="preserve">臺北醫學大學, </v>
      </c>
      <c r="E87" t="str">
        <f>("419.47 8464 2013")</f>
        <v>419.47 8464 2013</v>
      </c>
      <c r="F87" t="str">
        <f>("2013/10/01 00:00:00")</f>
        <v>2013/10/01 00:00:00</v>
      </c>
      <c r="G87" t="str">
        <f>("2013")</f>
        <v>2013</v>
      </c>
      <c r="H87" t="str">
        <f>("大林慈院醫倫、醫法區")</f>
        <v>大林慈院醫倫、醫法區</v>
      </c>
    </row>
    <row r="88" spans="1:9">
      <c r="A88" t="str">
        <f>("D0016561")</f>
        <v>D0016561</v>
      </c>
      <c r="B88" t="str">
        <f>("醫病關係Q＆A /")</f>
        <v>醫病關係Q＆A /</v>
      </c>
      <c r="C88" t="str">
        <f>("李兆環 作")</f>
        <v>李兆環 作</v>
      </c>
      <c r="D88" t="str">
        <f>("新學林,")</f>
        <v>新學林,</v>
      </c>
      <c r="E88" t="str">
        <f>("419.47022 8457 2020")</f>
        <v>419.47022 8457 2020</v>
      </c>
      <c r="F88" t="str">
        <f>("2020/10/29 00:00:00")</f>
        <v>2020/10/29 00:00:00</v>
      </c>
      <c r="G88" t="str">
        <f>("2020")</f>
        <v>2020</v>
      </c>
      <c r="H88" t="str">
        <f>("大林慈院醫倫、醫法區")</f>
        <v>大林慈院醫倫、醫法區</v>
      </c>
      <c r="I88" t="str">
        <f>("學習資源組")</f>
        <v>學習資源組</v>
      </c>
    </row>
    <row r="89" spans="1:9">
      <c r="A89" t="str">
        <f>("D0010425")</f>
        <v>D0010425</v>
      </c>
      <c r="B89" t="str">
        <f>("護理倫理 :個案解析及探討 /")</f>
        <v>護理倫理 :個案解析及探討 /</v>
      </c>
      <c r="C89" t="str">
        <f>("姜月桃(護理學) ")</f>
        <v xml:space="preserve">姜月桃(護理學) </v>
      </c>
      <c r="D89" t="str">
        <f>("高立,")</f>
        <v>高立,</v>
      </c>
      <c r="E89" t="str">
        <f>("419.61619 8363 2006")</f>
        <v>419.61619 8363 2006</v>
      </c>
      <c r="F89" t="str">
        <f>("2013/10/01 00:00:00")</f>
        <v>2013/10/01 00:00:00</v>
      </c>
      <c r="G89" t="str">
        <f>("2006")</f>
        <v>2006</v>
      </c>
      <c r="H89" t="str">
        <f>("大林慈院醫倫、醫法區")</f>
        <v>大林慈院醫倫、醫法區</v>
      </c>
      <c r="I89" t="str">
        <f>("學習資源組")</f>
        <v>學習資源組</v>
      </c>
    </row>
    <row r="90" spans="1:9">
      <c r="A90" t="str">
        <f>("D0015296")</f>
        <v>D0015296</v>
      </c>
      <c r="B90" t="str">
        <f>("最新護理倫理 :倫理兩難與實務應用 /")</f>
        <v>最新護理倫理 :倫理兩難與實務應用 /</v>
      </c>
      <c r="C90" t="str">
        <f>("戴維斯(Davis, Anne J., 1931- ) ")</f>
        <v xml:space="preserve">戴維斯(Davis, Anne J., 1931- ) </v>
      </c>
      <c r="D90" t="str">
        <f>("華騰文化出版 :;禾楓總經銷,")</f>
        <v>華騰文化出版 :;禾楓總經銷,</v>
      </c>
      <c r="E90" t="str">
        <f>("419.61619 8365 2012")</f>
        <v>419.61619 8365 2012</v>
      </c>
      <c r="F90" t="str">
        <f>("2017/06/09 00:00:00")</f>
        <v>2017/06/09 00:00:00</v>
      </c>
      <c r="G90" t="str">
        <f>("2012")</f>
        <v>2012</v>
      </c>
      <c r="H90" t="str">
        <f>("大林慈院醫倫、醫法區")</f>
        <v>大林慈院醫倫、醫法區</v>
      </c>
      <c r="I90" t="str">
        <f>("學習資源組 ")</f>
        <v xml:space="preserve">學習資源組 </v>
      </c>
    </row>
    <row r="91" spans="1:9">
      <c r="A91" t="str">
        <f>("D0000717")</f>
        <v>D0000717</v>
      </c>
      <c r="B91" t="str">
        <f>("護理倫理學 =Nursing ethics /")</f>
        <v>護理倫理學 =Nursing ethics /</v>
      </c>
      <c r="C91" t="str">
        <f>("李小璐(護理) ")</f>
        <v xml:space="preserve">李小璐(護理) </v>
      </c>
      <c r="D91" t="str">
        <f>("永大,")</f>
        <v>永大,</v>
      </c>
      <c r="E91" t="str">
        <f>("419.61619 8444 2002")</f>
        <v>419.61619 8444 2002</v>
      </c>
      <c r="F91" t="str">
        <f>("2013/10/01 00:00:00")</f>
        <v>2013/10/01 00:00:00</v>
      </c>
      <c r="G91" t="str">
        <f>("2002")</f>
        <v>2002</v>
      </c>
      <c r="H91" t="str">
        <f>("大林慈院醫倫、醫法區")</f>
        <v>大林慈院醫倫、醫法區</v>
      </c>
      <c r="I91" t="str">
        <f>("護理部")</f>
        <v>護理部</v>
      </c>
    </row>
    <row r="92" spans="1:9">
      <c r="A92" t="str">
        <f>("D0015645")</f>
        <v>D0015645</v>
      </c>
      <c r="B92" t="str">
        <f>("護理專業倫理與實務 =Ethical practice in nursing care /")</f>
        <v>護理專業倫理與實務 =Ethical practice in nursing care /</v>
      </c>
      <c r="C92" t="str">
        <f>("徐南麗 ")</f>
        <v xml:space="preserve">徐南麗 </v>
      </c>
      <c r="D92" t="str">
        <f>("新文京開發,")</f>
        <v>新文京開發,</v>
      </c>
      <c r="E92" t="str">
        <f>("419.61619 8555 2015")</f>
        <v>419.61619 8555 2015</v>
      </c>
      <c r="F92" t="str">
        <f>("2017/06/09 00:00:00")</f>
        <v>2017/06/09 00:00:00</v>
      </c>
      <c r="G92" t="str">
        <f>("2015")</f>
        <v>2015</v>
      </c>
      <c r="H92" t="str">
        <f>("大林慈院醫倫、醫法區")</f>
        <v>大林慈院醫倫、醫法區</v>
      </c>
      <c r="I92" t="str">
        <f>("學習資源組")</f>
        <v>學習資源組</v>
      </c>
    </row>
    <row r="93" spans="1:9">
      <c r="A93" t="str">
        <f>("D0016725")</f>
        <v>D0016725</v>
      </c>
      <c r="B93" t="str">
        <f>("護理專業倫理與實務(含法律) / ")</f>
        <v xml:space="preserve">護理專業倫理與實務(含法律) / </v>
      </c>
      <c r="C93" t="str">
        <f>("徐南麗等著")</f>
        <v>徐南麗等著</v>
      </c>
      <c r="D93" t="str">
        <f>("新文京開發, ")</f>
        <v xml:space="preserve">新文京開發, </v>
      </c>
      <c r="E93" t="str">
        <f>("419.61619 8555 2019")</f>
        <v>419.61619 8555 2019</v>
      </c>
      <c r="F93" t="str">
        <f>("2021/06/09 00:00:00")</f>
        <v>2021/06/09 00:00:00</v>
      </c>
      <c r="G93" t="str">
        <f>("2019")</f>
        <v>2019</v>
      </c>
      <c r="H93" t="str">
        <f>("大林慈院醫倫、醫法區")</f>
        <v>大林慈院醫倫、醫法區</v>
      </c>
      <c r="I93" t="str">
        <f>("護理部")</f>
        <v>護理部</v>
      </c>
    </row>
    <row r="94" spans="1:9">
      <c r="A94" t="str">
        <f>("D0000427")</f>
        <v>D0000427</v>
      </c>
      <c r="B94" t="str">
        <f>("護理倫理學 =Nursing ethics /")</f>
        <v>護理倫理學 =Nursing ethics /</v>
      </c>
      <c r="C94" t="str">
        <f>("盧美秀編著")</f>
        <v>盧美秀編著</v>
      </c>
      <c r="D94" t="str">
        <f>("匯華出版,")</f>
        <v>匯華出版,</v>
      </c>
      <c r="E94" t="str">
        <f>("419.61619 8566 1991")</f>
        <v>419.61619 8566 1991</v>
      </c>
      <c r="F94" t="str">
        <f>("2013/10/01 00:00:00")</f>
        <v>2013/10/01 00:00:00</v>
      </c>
      <c r="G94" t="str">
        <f>("1991")</f>
        <v>1991</v>
      </c>
      <c r="H94" t="str">
        <f>("大林慈院醫倫、醫法區")</f>
        <v>大林慈院醫倫、醫法區</v>
      </c>
    </row>
    <row r="95" spans="1:9">
      <c r="A95" t="str">
        <f>("D0005364")</f>
        <v>D0005364</v>
      </c>
      <c r="B95" t="str">
        <f>("護理倫理學 =Nursing ethics /")</f>
        <v>護理倫理學 =Nursing ethics /</v>
      </c>
      <c r="C95" t="str">
        <f>("盧美秀編著")</f>
        <v>盧美秀編著</v>
      </c>
      <c r="D95" t="str">
        <f>("匯華出版,")</f>
        <v>匯華出版,</v>
      </c>
      <c r="E95" t="str">
        <f>("419.61619 8566 2001")</f>
        <v>419.61619 8566 2001</v>
      </c>
      <c r="F95" t="str">
        <f>("2013/10/01 00:00:00")</f>
        <v>2013/10/01 00:00:00</v>
      </c>
      <c r="G95" t="str">
        <f>("2001")</f>
        <v>2001</v>
      </c>
      <c r="H95" t="str">
        <f>("大林慈院醫倫、醫法區")</f>
        <v>大林慈院醫倫、醫法區</v>
      </c>
    </row>
    <row r="96" spans="1:9">
      <c r="A96" t="str">
        <f>("D0009746")</f>
        <v>D0009746</v>
      </c>
      <c r="B96" t="str">
        <f>("護理倫理與法律 /")</f>
        <v>護理倫理與法律 /</v>
      </c>
      <c r="C96" t="str">
        <f>("盧美秀作")</f>
        <v>盧美秀作</v>
      </c>
      <c r="D96" t="str">
        <f>("華杏,")</f>
        <v>華杏,</v>
      </c>
      <c r="E96" t="str">
        <f>("419.61619 8566-2 2006")</f>
        <v>419.61619 8566-2 2006</v>
      </c>
      <c r="F96" t="str">
        <f>("2013/10/01 00:00:00")</f>
        <v>2013/10/01 00:00:00</v>
      </c>
      <c r="G96" t="str">
        <f>("2006")</f>
        <v>2006</v>
      </c>
      <c r="H96" t="str">
        <f>("大林慈院醫倫、醫法區")</f>
        <v>大林慈院醫倫、醫法區</v>
      </c>
    </row>
    <row r="97" spans="1:9">
      <c r="A97" t="str">
        <f>("D0009747")</f>
        <v>D0009747</v>
      </c>
      <c r="B97" t="str">
        <f>("護理倫理與法律 /")</f>
        <v>護理倫理與法律 /</v>
      </c>
      <c r="C97" t="str">
        <f>("盧美秀作")</f>
        <v>盧美秀作</v>
      </c>
      <c r="D97" t="str">
        <f>("華杏,")</f>
        <v>華杏,</v>
      </c>
      <c r="E97" t="str">
        <f>("419.61619 8566-2 2006 c.2")</f>
        <v>419.61619 8566-2 2006 c.2</v>
      </c>
      <c r="F97" t="str">
        <f>("2013/10/01 00:00:00")</f>
        <v>2013/10/01 00:00:00</v>
      </c>
      <c r="G97" t="str">
        <f>("2006")</f>
        <v>2006</v>
      </c>
      <c r="H97" t="str">
        <f>("大林慈院醫倫、醫法區")</f>
        <v>大林慈院醫倫、醫法區</v>
      </c>
    </row>
    <row r="98" spans="1:9">
      <c r="A98" t="str">
        <f>("D0009748")</f>
        <v>D0009748</v>
      </c>
      <c r="B98" t="str">
        <f>("護理倫理與法律 /")</f>
        <v>護理倫理與法律 /</v>
      </c>
      <c r="C98" t="str">
        <f>("盧美秀作")</f>
        <v>盧美秀作</v>
      </c>
      <c r="D98" t="str">
        <f>("華杏,")</f>
        <v>華杏,</v>
      </c>
      <c r="E98" t="str">
        <f>("419.61619 8566-2 2006 c.3")</f>
        <v>419.61619 8566-2 2006 c.3</v>
      </c>
      <c r="F98" t="str">
        <f>("2013/10/01 00:00:00")</f>
        <v>2013/10/01 00:00:00</v>
      </c>
      <c r="G98" t="str">
        <f>("2006")</f>
        <v>2006</v>
      </c>
      <c r="H98" t="str">
        <f>("大林慈院醫倫、醫法區")</f>
        <v>大林慈院醫倫、醫法區</v>
      </c>
    </row>
    <row r="99" spans="1:9">
      <c r="A99" t="str">
        <f>("D0015295")</f>
        <v>D0015295</v>
      </c>
      <c r="B99" t="str">
        <f>("護理倫理與法律 = Nursing ethics and law / ")</f>
        <v xml:space="preserve">護理倫理與法律 = Nursing ethics and law / </v>
      </c>
      <c r="C99" t="str">
        <f>("盧美秀作 ")</f>
        <v xml:space="preserve">盧美秀作 </v>
      </c>
      <c r="D99" t="str">
        <f>("華杏, ")</f>
        <v xml:space="preserve">華杏, </v>
      </c>
      <c r="E99" t="str">
        <f>("419.61619 8566-2 2015")</f>
        <v>419.61619 8566-2 2015</v>
      </c>
      <c r="F99" t="str">
        <f>("2017/06/09 00:00:00")</f>
        <v>2017/06/09 00:00:00</v>
      </c>
      <c r="G99" t="str">
        <f>("2015")</f>
        <v>2015</v>
      </c>
      <c r="H99" t="str">
        <f>("大林慈院醫倫、醫法區")</f>
        <v>大林慈院醫倫、醫法區</v>
      </c>
      <c r="I99" t="str">
        <f>("學習資源組")</f>
        <v>學習資源組</v>
      </c>
    </row>
    <row r="100" spans="1:9">
      <c r="A100" t="str">
        <f>("D0016720")</f>
        <v>D0016720</v>
      </c>
      <c r="B100" t="str">
        <f>("護理倫理與法律 / ")</f>
        <v xml:space="preserve">護理倫理與法律 / </v>
      </c>
      <c r="C100" t="str">
        <f>("盧美秀編著")</f>
        <v>盧美秀編著</v>
      </c>
      <c r="D100" t="str">
        <f>("華杏, ")</f>
        <v xml:space="preserve">華杏, </v>
      </c>
      <c r="E100" t="str">
        <f>("419.61619 8566-2 2018")</f>
        <v>419.61619 8566-2 2018</v>
      </c>
      <c r="F100" t="str">
        <f>("2021/06/18 00:00:00")</f>
        <v>2021/06/18 00:00:00</v>
      </c>
      <c r="G100" t="str">
        <f>("2018")</f>
        <v>2018</v>
      </c>
      <c r="H100" t="str">
        <f>("大林慈院醫倫、醫法區")</f>
        <v>大林慈院醫倫、醫法區</v>
      </c>
      <c r="I100" t="str">
        <f>("學習資源組")</f>
        <v>學習資源組</v>
      </c>
    </row>
    <row r="101" spans="1:9">
      <c r="A101" t="str">
        <f>("D0003904")</f>
        <v>D0003904</v>
      </c>
      <c r="B101" t="str">
        <f>("護理倫理新論 /")</f>
        <v>護理倫理新論 /</v>
      </c>
      <c r="C101" t="str">
        <f>("蕭宏恩 ")</f>
        <v xml:space="preserve">蕭宏恩 </v>
      </c>
      <c r="D101" t="str">
        <f>("五南,")</f>
        <v>五南,</v>
      </c>
      <c r="E101" t="str">
        <f>("419.61619 8624 1999")</f>
        <v>419.61619 8624 1999</v>
      </c>
      <c r="F101" t="str">
        <f>("2013/10/01 00:00:00")</f>
        <v>2013/10/01 00:00:00</v>
      </c>
      <c r="G101" t="str">
        <f>("1999")</f>
        <v>1999</v>
      </c>
      <c r="H101" t="str">
        <f>("大林慈院醫倫、醫法區")</f>
        <v>大林慈院醫倫、醫法區</v>
      </c>
    </row>
    <row r="102" spans="1:9">
      <c r="A102" t="str">
        <f>("D0015611")</f>
        <v>D0015611</v>
      </c>
      <c r="B102" t="str">
        <f>("護理倫理 : 個案解析及探討 / ")</f>
        <v xml:space="preserve">護理倫理 : 個案解析及探討 / </v>
      </c>
      <c r="C102" t="str">
        <f>("蕭宏恩編著")</f>
        <v>蕭宏恩編著</v>
      </c>
      <c r="D102" t="str">
        <f>("高立, ")</f>
        <v xml:space="preserve">高立, </v>
      </c>
      <c r="E102" t="str">
        <f>("419.61619 8624-2 2012")</f>
        <v>419.61619 8624-2 2012</v>
      </c>
      <c r="F102" t="str">
        <f>("2017/06/23 00:00:00")</f>
        <v>2017/06/23 00:00:00</v>
      </c>
      <c r="G102" t="str">
        <f>("2012")</f>
        <v>2012</v>
      </c>
      <c r="H102" t="str">
        <f>("大林慈院醫倫、醫法區")</f>
        <v>大林慈院醫倫、醫法區</v>
      </c>
      <c r="I102" t="str">
        <f>("學習資源組 ")</f>
        <v xml:space="preserve">學習資源組 </v>
      </c>
    </row>
    <row r="103" spans="1:9">
      <c r="A103" t="str">
        <f>("D0006557")</f>
        <v>D0006557</v>
      </c>
      <c r="B103" t="str">
        <f>("護理倫理概論 /")</f>
        <v>護理倫理概論 /</v>
      </c>
      <c r="C103" t="str">
        <f>("尹裕君 ")</f>
        <v xml:space="preserve">尹裕君 </v>
      </c>
      <c r="D103" t="str">
        <f>("華杏,")</f>
        <v>華杏,</v>
      </c>
      <c r="E103" t="str">
        <f>("419.61619 8634 2004")</f>
        <v>419.61619 8634 2004</v>
      </c>
      <c r="F103" t="str">
        <f>("2013/10/01 00:00:00")</f>
        <v>2013/10/01 00:00:00</v>
      </c>
      <c r="G103" t="str">
        <f>("2004")</f>
        <v>2004</v>
      </c>
      <c r="H103" t="str">
        <f>("大林慈院醫倫、醫法區")</f>
        <v>大林慈院醫倫、醫法區</v>
      </c>
      <c r="I103" t="str">
        <f>("護理部;學習資源組")</f>
        <v>護理部;學習資源組</v>
      </c>
    </row>
    <row r="104" spans="1:9">
      <c r="A104" t="str">
        <f>("D0010459")</f>
        <v>D0010459</v>
      </c>
      <c r="B104" t="str">
        <f>("護理倫理概論 /")</f>
        <v>護理倫理概論 /</v>
      </c>
      <c r="C104" t="str">
        <f>("尹裕君 ")</f>
        <v xml:space="preserve">尹裕君 </v>
      </c>
      <c r="D104" t="str">
        <f>("華杏,")</f>
        <v>華杏,</v>
      </c>
      <c r="E104" t="str">
        <f>("419.61619 8634 2007")</f>
        <v>419.61619 8634 2007</v>
      </c>
      <c r="F104" t="str">
        <f>("2013/10/01 00:00:00")</f>
        <v>2013/10/01 00:00:00</v>
      </c>
      <c r="G104" t="str">
        <f>("2007")</f>
        <v>2007</v>
      </c>
      <c r="H104" t="str">
        <f>("大林慈院醫倫、醫法區")</f>
        <v>大林慈院醫倫、醫法區</v>
      </c>
      <c r="I104" t="str">
        <f>("護理部;學習資源組")</f>
        <v>護理部;學習資源組</v>
      </c>
    </row>
    <row r="105" spans="1:9">
      <c r="A105" t="str">
        <f>("D0015297")</f>
        <v>D0015297</v>
      </c>
      <c r="B105" t="str">
        <f>("護理倫理概論 =Basic introduction to nursing ethics /")</f>
        <v>護理倫理概論 =Basic introduction to nursing ethics /</v>
      </c>
      <c r="C105" t="str">
        <f>("尹,裕君")</f>
        <v>尹,裕君</v>
      </c>
      <c r="D105" t="str">
        <f>("華杏,")</f>
        <v>華杏,</v>
      </c>
      <c r="E105" t="str">
        <f>("419.61619 8634 2016")</f>
        <v>419.61619 8634 2016</v>
      </c>
      <c r="F105" t="str">
        <f>("2017/06/09 00:00:00")</f>
        <v>2017/06/09 00:00:00</v>
      </c>
      <c r="G105" t="str">
        <f>("2016")</f>
        <v>2016</v>
      </c>
      <c r="H105" t="str">
        <f>("大林慈院醫倫、醫法區")</f>
        <v>大林慈院醫倫、醫法區</v>
      </c>
      <c r="I105" t="str">
        <f>("學習資源組 ")</f>
        <v xml:space="preserve">學習資源組 </v>
      </c>
    </row>
    <row r="106" spans="1:9">
      <c r="A106" t="str">
        <f>("D0016723")</f>
        <v>D0016723</v>
      </c>
      <c r="B106" t="str">
        <f>("護理倫理概論 = Basic introduction to nursing ethics / ")</f>
        <v xml:space="preserve">護理倫理概論 = Basic introduction to nursing ethics / </v>
      </c>
      <c r="C106" t="str">
        <f>("尹裕君作")</f>
        <v>尹裕君作</v>
      </c>
      <c r="D106" t="str">
        <f>("華杏, ")</f>
        <v xml:space="preserve">華杏, </v>
      </c>
      <c r="E106" t="str">
        <f>("419.61619 8634 2017")</f>
        <v>419.61619 8634 2017</v>
      </c>
      <c r="F106" t="str">
        <f>("2021/06/18 00:00:00")</f>
        <v>2021/06/18 00:00:00</v>
      </c>
      <c r="G106" t="str">
        <f>("2017")</f>
        <v>2017</v>
      </c>
      <c r="H106" t="str">
        <f>("大林慈院醫倫、醫法區")</f>
        <v>大林慈院醫倫、醫法區</v>
      </c>
      <c r="I106" t="str">
        <f>("學習資源組")</f>
        <v>學習資源組</v>
      </c>
    </row>
    <row r="107" spans="1:9">
      <c r="A107" t="str">
        <f>("D0003353")</f>
        <v>D0003353</v>
      </c>
      <c r="B107" t="str">
        <f>("護理倫理研討會/")</f>
        <v>護理倫理研討會/</v>
      </c>
      <c r="C107" t="str">
        <f>("")</f>
        <v/>
      </c>
      <c r="D107" t="str">
        <f>("中華民國護理學會護理教育委員會,")</f>
        <v>中華民國護理學會護理教育委員會,</v>
      </c>
      <c r="E107" t="str">
        <f>("419.61619 8646 1990")</f>
        <v>419.61619 8646 1990</v>
      </c>
      <c r="F107" t="str">
        <f>("2013/10/01 00:00:00")</f>
        <v>2013/10/01 00:00:00</v>
      </c>
      <c r="G107" t="str">
        <f>("1990")</f>
        <v>1990</v>
      </c>
      <c r="H107" t="str">
        <f>("大林慈院醫倫、醫法區")</f>
        <v>大林慈院醫倫、醫法區</v>
      </c>
    </row>
    <row r="108" spans="1:9">
      <c r="A108" t="str">
        <f>("D0000425")</f>
        <v>D0000425</v>
      </c>
      <c r="B108" t="str">
        <f>("困境 :護理倫理指南 /")</f>
        <v>困境 :護理倫理指南 /</v>
      </c>
      <c r="C108" t="str">
        <f>("夏倫(Shelly, Judith Allen)著 ")</f>
        <v xml:space="preserve">夏倫(Shelly, Judith Allen)著 </v>
      </c>
      <c r="D108" t="str">
        <f>("校園,")</f>
        <v>校園,</v>
      </c>
      <c r="E108" t="str">
        <f>("419.61619 877 1992")</f>
        <v>419.61619 877 1992</v>
      </c>
      <c r="F108" t="str">
        <f>("2013/10/01 00:00:00")</f>
        <v>2013/10/01 00:00:00</v>
      </c>
      <c r="G108" t="str">
        <f>("1992")</f>
        <v>1992</v>
      </c>
      <c r="H108" t="str">
        <f>("大林慈院醫倫、醫法區")</f>
        <v>大林慈院醫倫、醫法區</v>
      </c>
    </row>
    <row r="109" spans="1:9">
      <c r="A109" t="str">
        <f>("D0010589")</f>
        <v>D0010589</v>
      </c>
      <c r="B109" t="str">
        <f>("臺灣護理研究 :倫理議題與困境 /")</f>
        <v>臺灣護理研究 :倫理議題與困境 /</v>
      </c>
      <c r="C109" t="str">
        <f>("余玉眉 ")</f>
        <v xml:space="preserve">余玉眉 </v>
      </c>
      <c r="D109" t="str">
        <f>("國家衛生研究院,")</f>
        <v>國家衛生研究院,</v>
      </c>
      <c r="E109" t="str">
        <f>("419.7031 8534 2006")</f>
        <v>419.7031 8534 2006</v>
      </c>
      <c r="F109" t="str">
        <f>("2013/10/01 00:00:00")</f>
        <v>2013/10/01 00:00:00</v>
      </c>
      <c r="G109" t="str">
        <f>("2006")</f>
        <v>2006</v>
      </c>
      <c r="H109" t="str">
        <f>("大林慈院醫倫、醫法區")</f>
        <v>大林慈院醫倫、醫法區</v>
      </c>
      <c r="I109" t="str">
        <f>("學習資源組")</f>
        <v>學習資源組</v>
      </c>
    </row>
    <row r="110" spans="1:9">
      <c r="A110" t="str">
        <f>("D0010445")</f>
        <v>D0010445</v>
      </c>
      <c r="B110" t="str">
        <f>("生命教育 = Life education : 倫理與科學 : ethics and science / ")</f>
        <v xml:space="preserve">生命教育 = Life education : 倫理與科學 : ethics and science / </v>
      </c>
      <c r="C110" t="str">
        <f>("鈕則誠著")</f>
        <v>鈕則誠著</v>
      </c>
      <c r="D110" t="str">
        <f>("揚智文化, ")</f>
        <v xml:space="preserve">揚智文化, </v>
      </c>
      <c r="E110" t="str">
        <f>("528.59 8662 2004")</f>
        <v>528.59 8662 2004</v>
      </c>
      <c r="F110" t="str">
        <f>("2013/10/01 00:00:00")</f>
        <v>2013/10/01 00:00:00</v>
      </c>
      <c r="G110" t="str">
        <f>("2004")</f>
        <v>2004</v>
      </c>
      <c r="H110" t="str">
        <f>("大林慈院醫倫、醫法區")</f>
        <v>大林慈院醫倫、醫法區</v>
      </c>
      <c r="I110" t="str">
        <f>("學習資源組")</f>
        <v>學習資源組</v>
      </c>
    </row>
    <row r="111" spans="1:9">
      <c r="A111" t="str">
        <f>("D0015756")</f>
        <v>D0015756</v>
      </c>
      <c r="B111" t="str">
        <f>("羅絲瑪麗 : 發身障人權.特殊教育和醫療倫理的甘迺迪家族悲劇 / ")</f>
        <v xml:space="preserve">羅絲瑪麗 : 發身障人權.特殊教育和醫療倫理的甘迺迪家族悲劇 / </v>
      </c>
      <c r="C111" t="str">
        <f>("拉森(Larson, Kate Clifford) ")</f>
        <v xml:space="preserve">拉森(Larson, Kate Clifford) </v>
      </c>
      <c r="D111" t="str">
        <f>("遠足發行, ;行路出版 : ")</f>
        <v xml:space="preserve">遠足發行, ;行路出版 : </v>
      </c>
      <c r="E111" t="str">
        <f>("785.27 847 2016")</f>
        <v>785.27 847 2016</v>
      </c>
      <c r="F111" t="str">
        <f>("2017/09/28 00:00:00")</f>
        <v>2017/09/28 00:00:00</v>
      </c>
      <c r="G111" t="str">
        <f>("2016")</f>
        <v>2016</v>
      </c>
      <c r="H111" t="str">
        <f>("大林慈院醫倫、醫法區")</f>
        <v>大林慈院醫倫、醫法區</v>
      </c>
      <c r="I111" t="str">
        <f>("醫學教育組")</f>
        <v>醫學教育組</v>
      </c>
    </row>
    <row r="112" spans="1:9">
      <c r="A112" t="str">
        <f>("D0009270")</f>
        <v>D0009270</v>
      </c>
      <c r="B112" t="str">
        <f>("Medicines, ethics, and practice : a guide for pharmacists")</f>
        <v>Medicines, ethics, and practice : a guide for pharmacists</v>
      </c>
      <c r="C112" t="str">
        <f>("")</f>
        <v/>
      </c>
      <c r="D112" t="str">
        <f>("力大;Royal Pharmaceutical Society of Great Britain")</f>
        <v>力大;Royal Pharmaceutical Society of Great Britain</v>
      </c>
      <c r="E112" t="str">
        <f>("W1 ME656 2006")</f>
        <v>W1 ME656 2006</v>
      </c>
      <c r="F112" t="str">
        <f>("2013/10/01 00:00:00")</f>
        <v>2013/10/01 00:00:00</v>
      </c>
      <c r="G112" t="str">
        <f>("2006")</f>
        <v>2006</v>
      </c>
      <c r="H112" t="str">
        <f>("大林慈院醫倫、醫法區")</f>
        <v>大林慈院醫倫、醫法區</v>
      </c>
      <c r="I112" t="str">
        <f>("藥學部")</f>
        <v>藥學部</v>
      </c>
    </row>
    <row r="113" spans="1:9">
      <c r="A113" t="str">
        <f>("D0004124")</f>
        <v>D0004124</v>
      </c>
      <c r="B113" t="str">
        <f>("The Cambridge medical ethics workbook ;case studies commentaries and activities /")</f>
        <v>The Cambridge medical ethics workbook ;case studies commentaries and activities /</v>
      </c>
      <c r="C113" t="str">
        <f>("Dickenson, Donna. ;Parker, Michael,1958- ")</f>
        <v xml:space="preserve">Dickenson, Donna. ;Parker, Michael,1958- </v>
      </c>
      <c r="D113" t="str">
        <f>("Cambridge University Press,")</f>
        <v>Cambridge University Press,</v>
      </c>
      <c r="E113" t="str">
        <f>("W18.2 C178 2001")</f>
        <v>W18.2 C178 2001</v>
      </c>
      <c r="F113" t="str">
        <f>("2013/10/01 00:00:00")</f>
        <v>2013/10/01 00:00:00</v>
      </c>
      <c r="G113" t="str">
        <f>("2001")</f>
        <v>2001</v>
      </c>
      <c r="H113" t="str">
        <f>("大林慈院醫倫、醫法區")</f>
        <v>大林慈院醫倫、醫法區</v>
      </c>
    </row>
    <row r="114" spans="1:9">
      <c r="A114" t="str">
        <f>("D0007070")</f>
        <v>D0007070</v>
      </c>
      <c r="B114" t="str">
        <f>("Assessing quality of life in clinical trials :methods and practice /")</f>
        <v>Assessing quality of life in clinical trials :methods and practice /</v>
      </c>
      <c r="C114" t="str">
        <f>("Fayers, Peter M. ;Hays, Ron D. ")</f>
        <v xml:space="preserve">Fayers, Peter M. ;Hays, Ron D. </v>
      </c>
      <c r="D114" t="str">
        <f>("Oxford University Press,")</f>
        <v>Oxford University Press,</v>
      </c>
      <c r="E114" t="str">
        <f>("W20.5 A845 2005")</f>
        <v>W20.5 A845 2005</v>
      </c>
      <c r="F114" t="str">
        <f>("2013/10/01 00:00:00")</f>
        <v>2013/10/01 00:00:00</v>
      </c>
      <c r="G114" t="str">
        <f>("2005")</f>
        <v>2005</v>
      </c>
      <c r="H114" t="str">
        <f>("大林慈院醫倫、醫法區")</f>
        <v>大林慈院醫倫、醫法區</v>
      </c>
      <c r="I114" t="str">
        <f>("藥學部")</f>
        <v>藥學部</v>
      </c>
    </row>
    <row r="115" spans="1:9">
      <c r="A115" t="str">
        <f>("D0010488")</f>
        <v>D0010488</v>
      </c>
      <c r="B115" t="str">
        <f>("Doctors’ errors and mistakes of medicine :must health care deteriorate? /")</f>
        <v>Doctors’ errors and mistakes of medicine :must health care deteriorate? /</v>
      </c>
      <c r="C115" t="str">
        <f>("Wolman, Moshe,1914-")</f>
        <v>Wolman, Moshe,1914-</v>
      </c>
      <c r="D115" t="str">
        <f>("IOS Press,")</f>
        <v>IOS Press,</v>
      </c>
      <c r="E115" t="str">
        <f>("W20.5 B6155 2006")</f>
        <v>W20.5 B6155 2006</v>
      </c>
      <c r="F115" t="str">
        <f>("2013/10/01 00:00:00")</f>
        <v>2013/10/01 00:00:00</v>
      </c>
      <c r="G115" t="str">
        <f>("2006")</f>
        <v>2006</v>
      </c>
      <c r="H115" t="str">
        <f>("大林慈院醫倫、醫法區")</f>
        <v>大林慈院醫倫、醫法區</v>
      </c>
    </row>
    <row r="116" spans="1:9">
      <c r="A116" t="str">
        <f>("D0010433")</f>
        <v>D0010433</v>
      </c>
      <c r="B116" t="str">
        <f>("Ethical conduct of clinical research involving children /")</f>
        <v>Ethical conduct of clinical research involving children /</v>
      </c>
      <c r="C116" t="str">
        <f>("Behrman, Richard E.,1931- ;Field, Marilyn J.(Marilyn Jane) ")</f>
        <v xml:space="preserve">Behrman, Richard E.,1931- ;Field, Marilyn J.(Marilyn Jane) </v>
      </c>
      <c r="D116" t="str">
        <f>("National Academies Press,")</f>
        <v>National Academies Press,</v>
      </c>
      <c r="E116" t="str">
        <f>("W20.5 E838 2004")</f>
        <v>W20.5 E838 2004</v>
      </c>
      <c r="F116" t="str">
        <f>("2013/10/01 00:00:00")</f>
        <v>2013/10/01 00:00:00</v>
      </c>
      <c r="G116" t="str">
        <f>("2004")</f>
        <v>2004</v>
      </c>
      <c r="H116" t="str">
        <f>("大林慈院醫倫、醫法區")</f>
        <v>大林慈院醫倫、醫法區</v>
      </c>
      <c r="I116" t="str">
        <f>("學習資源組")</f>
        <v>學習資源組</v>
      </c>
    </row>
    <row r="117" spans="1:9">
      <c r="A117" t="str">
        <f>("D0010644")</f>
        <v>D0010644</v>
      </c>
      <c r="B117" t="str">
        <f>("Design of studies for medical research /")</f>
        <v>Design of studies for medical research /</v>
      </c>
      <c r="C117" t="str">
        <f>("MachinDavid ")</f>
        <v xml:space="preserve">MachinDavid </v>
      </c>
      <c r="D117" t="str">
        <f>("Wiley,")</f>
        <v>Wiley,</v>
      </c>
      <c r="E117" t="str">
        <f>("W20.5 M149 2005")</f>
        <v>W20.5 M149 2005</v>
      </c>
      <c r="F117" t="str">
        <f>("2013/10/01 00:00:00")</f>
        <v>2013/10/01 00:00:00</v>
      </c>
      <c r="G117" t="str">
        <f>("2005")</f>
        <v>2005</v>
      </c>
      <c r="H117" t="str">
        <f>("大林慈院醫倫、醫法區")</f>
        <v>大林慈院醫倫、醫法區</v>
      </c>
      <c r="I117" t="str">
        <f>("學習資源組")</f>
        <v>學習資源組</v>
      </c>
    </row>
    <row r="118" spans="1:9">
      <c r="A118" t="str">
        <f>("D0007681")</f>
        <v>D0007681</v>
      </c>
      <c r="B118" t="str">
        <f>("Manual for research ethics committees /")</f>
        <v>Manual for research ethics committees /</v>
      </c>
      <c r="C118" t="str">
        <f>("Eckstein, Sue,1959- ")</f>
        <v xml:space="preserve">Eckstein, Sue,1959- </v>
      </c>
      <c r="D118" t="str">
        <f>("Cambridge University Press,")</f>
        <v>Cambridge University Press,</v>
      </c>
      <c r="E118" t="str">
        <f>("W20.5 M294 2003")</f>
        <v>W20.5 M294 2003</v>
      </c>
      <c r="F118" t="str">
        <f>("2013/10/01 00:00:00")</f>
        <v>2013/10/01 00:00:00</v>
      </c>
      <c r="G118" t="str">
        <f>("2003")</f>
        <v>2003</v>
      </c>
      <c r="H118" t="str">
        <f>("大林慈院醫倫、醫法區")</f>
        <v>大林慈院醫倫、醫法區</v>
      </c>
      <c r="I118" t="str">
        <f>("教學部")</f>
        <v>教學部</v>
      </c>
    </row>
    <row r="119" spans="1:9">
      <c r="A119" t="str">
        <f>("D0010474")</f>
        <v>D0010474</v>
      </c>
      <c r="B119" t="str">
        <f>("Research ethics committees, data protection, and medical research in European countries /")</f>
        <v>Research ethics committees, data protection, and medical research in European countries /</v>
      </c>
      <c r="C119" t="str">
        <f>("BeyleveldDeryck ;TownendD ;WrightJ ")</f>
        <v xml:space="preserve">BeyleveldDeryck ;TownendD ;WrightJ </v>
      </c>
      <c r="D119" t="str">
        <f>("Ashgate,")</f>
        <v>Ashgate,</v>
      </c>
      <c r="E119" t="str">
        <f>("W20.5 R4275 2005")</f>
        <v>W20.5 R4275 2005</v>
      </c>
      <c r="F119" t="str">
        <f>("2013/10/01 00:00:00")</f>
        <v>2013/10/01 00:00:00</v>
      </c>
      <c r="G119" t="str">
        <f>("2005")</f>
        <v>2005</v>
      </c>
      <c r="H119" t="str">
        <f>("大林慈院醫倫、醫法區")</f>
        <v>大林慈院醫倫、醫法區</v>
      </c>
    </row>
    <row r="120" spans="1:9">
      <c r="A120" t="str">
        <f>("D0010659")</f>
        <v>D0010659</v>
      </c>
      <c r="B120" t="str">
        <f>("Belmont revisited :ethical principles for research with human subjects /")</f>
        <v>Belmont revisited :ethical principles for research with human subjects /</v>
      </c>
      <c r="C120" t="str">
        <f>("Childress, James F. ;Meslin, Eric Mark. ;Shapiro, Harold T.,1935- ")</f>
        <v xml:space="preserve">Childress, James F. ;Meslin, Eric Mark. ;Shapiro, Harold T.,1935- </v>
      </c>
      <c r="D120" t="str">
        <f>("Georgetown University Press,")</f>
        <v>Georgetown University Press,</v>
      </c>
      <c r="E120" t="str">
        <f>("W20.55 H9 2005")</f>
        <v>W20.55 H9 2005</v>
      </c>
      <c r="F120" t="str">
        <f>("2013/10/01 00:00:00")</f>
        <v>2013/10/01 00:00:00</v>
      </c>
      <c r="G120" t="str">
        <f>("2005")</f>
        <v>2005</v>
      </c>
      <c r="H120" t="str">
        <f>("大林慈院醫倫、醫法區")</f>
        <v>大林慈院醫倫、醫法區</v>
      </c>
      <c r="I120" t="str">
        <f>("學習資源組")</f>
        <v>學習資源組</v>
      </c>
    </row>
    <row r="121" spans="1:9">
      <c r="A121" t="str">
        <f>("D0005949")</f>
        <v>D0005949</v>
      </c>
      <c r="B121" t="str">
        <f>("Proceedings of the 2001 Taiwan International Symposium on Applied Ethics in Human Research - Human Subject Protection /")</f>
        <v>Proceedings of the 2001 Taiwan International Symposium on Applied Ethics in Human Research - Human Subject Protection /</v>
      </c>
      <c r="C121" t="str">
        <f>("National Health Research Institutes ")</f>
        <v xml:space="preserve">National Health Research Institutes </v>
      </c>
      <c r="D121" t="str">
        <f>("National Health Research Institutes,")</f>
        <v>National Health Research Institutes,</v>
      </c>
      <c r="E121" t="str">
        <f>("W20.55.H9 P963 2001")</f>
        <v>W20.55.H9 P963 2001</v>
      </c>
      <c r="F121" t="str">
        <f>("2013/10/01 00:00:00")</f>
        <v>2013/10/01 00:00:00</v>
      </c>
      <c r="G121" t="str">
        <f>("2001")</f>
        <v>2001</v>
      </c>
      <c r="H121" t="str">
        <f>("大林慈院醫倫、醫法區")</f>
        <v>大林慈院醫倫、醫法區</v>
      </c>
    </row>
    <row r="122" spans="1:9">
      <c r="A122" t="str">
        <f>("D0005577")</f>
        <v>D0005577</v>
      </c>
      <c r="B122" t="str">
        <f>("Medical law and ethics /")</f>
        <v>Medical law and ethics /</v>
      </c>
      <c r="C122" t="str">
        <f>("Fremgen, Bonnie F. ")</f>
        <v xml:space="preserve">Fremgen, Bonnie F. </v>
      </c>
      <c r="D122" t="str">
        <f>("Pearson/Prentice Hall,")</f>
        <v>Pearson/Prentice Hall,</v>
      </c>
      <c r="E122" t="str">
        <f>("W32.5 F74 2005")</f>
        <v>W32.5 F74 2005</v>
      </c>
      <c r="F122" t="str">
        <f>("2013/10/01 00:00:00")</f>
        <v>2013/10/01 00:00:00</v>
      </c>
      <c r="G122" t="str">
        <f>("2005")</f>
        <v>2005</v>
      </c>
      <c r="H122" t="str">
        <f>("大林慈院醫倫、醫法區")</f>
        <v>大林慈院醫倫、醫法區</v>
      </c>
    </row>
    <row r="123" spans="1:9">
      <c r="A123" t="str">
        <f>("D0010409")</f>
        <v>D0010409</v>
      </c>
      <c r="B123" t="str">
        <f>("Ethical choices :case studies for medical practice /")</f>
        <v>Ethical choices :case studies for medical practice /</v>
      </c>
      <c r="C123" t="str">
        <f>("Snyder, Lois,1961- ")</f>
        <v xml:space="preserve">Snyder, Lois,1961- </v>
      </c>
      <c r="D123" t="str">
        <f>("American College of Physicians,")</f>
        <v>American College of Physicians,</v>
      </c>
      <c r="E123" t="str">
        <f>("W5 E84 2005")</f>
        <v>W5 E84 2005</v>
      </c>
      <c r="F123" t="str">
        <f>("2013/10/01 00:00:00")</f>
        <v>2013/10/01 00:00:00</v>
      </c>
      <c r="G123" t="str">
        <f>("2005")</f>
        <v>2005</v>
      </c>
      <c r="H123" t="str">
        <f>("大林慈院醫倫、醫法區")</f>
        <v>大林慈院醫倫、醫法區</v>
      </c>
      <c r="I123" t="str">
        <f>("學習資源組")</f>
        <v>學習資源組</v>
      </c>
    </row>
    <row r="124" spans="1:9">
      <c r="A124" t="str">
        <f>("D0005581")</f>
        <v>D0005581</v>
      </c>
      <c r="B124" t="str">
        <f>("Principles of biomedical ethics /")</f>
        <v>Principles of biomedical ethics /</v>
      </c>
      <c r="C124" t="str">
        <f>("BeauchampTom L ")</f>
        <v xml:space="preserve">BeauchampTom L </v>
      </c>
      <c r="D124" t="str">
        <f>("Oxford University Press,")</f>
        <v>Oxford University Press,</v>
      </c>
      <c r="E124" t="str">
        <f>("W50 B272p 2001")</f>
        <v>W50 B272p 2001</v>
      </c>
      <c r="F124" t="str">
        <f>("2013/10/01 00:00:00")</f>
        <v>2013/10/01 00:00:00</v>
      </c>
      <c r="G124" t="str">
        <f>("2001")</f>
        <v>2001</v>
      </c>
      <c r="H124" t="str">
        <f>("大林慈院醫倫、醫法區")</f>
        <v>大林慈院醫倫、醫法區</v>
      </c>
      <c r="I124" t="str">
        <f>("教學部")</f>
        <v>教學部</v>
      </c>
    </row>
    <row r="125" spans="1:9">
      <c r="A125" t="str">
        <f>("D0005772")</f>
        <v>D0005772</v>
      </c>
      <c r="B125" t="str">
        <f>("Principles of biomedical ethics /")</f>
        <v>Principles of biomedical ethics /</v>
      </c>
      <c r="C125" t="str">
        <f>("BeauchampTom L ")</f>
        <v xml:space="preserve">BeauchampTom L </v>
      </c>
      <c r="D125" t="str">
        <f>("Oxford University Press,")</f>
        <v>Oxford University Press,</v>
      </c>
      <c r="E125" t="str">
        <f>("W50 B272p 2001 c.2")</f>
        <v>W50 B272p 2001 c.2</v>
      </c>
      <c r="F125" t="str">
        <f>("2013/10/01 00:00:00")</f>
        <v>2013/10/01 00:00:00</v>
      </c>
      <c r="G125" t="str">
        <f>("2001")</f>
        <v>2001</v>
      </c>
      <c r="H125" t="str">
        <f>("大林慈院醫倫、醫法區")</f>
        <v>大林慈院醫倫、醫法區</v>
      </c>
      <c r="I125" t="str">
        <f>("教學部")</f>
        <v>教學部</v>
      </c>
    </row>
    <row r="126" spans="1:9">
      <c r="A126" t="str">
        <f>("D0005580")</f>
        <v>D0005580</v>
      </c>
      <c r="B126" t="str">
        <f>("Ethics for health care /")</f>
        <v>Ethics for health care /</v>
      </c>
      <c r="C126" t="str">
        <f>("Berglund, Catherine Anne. ")</f>
        <v xml:space="preserve">Berglund, Catherine Anne. </v>
      </c>
      <c r="D126" t="str">
        <f>("Oxford University Press,")</f>
        <v>Oxford University Press,</v>
      </c>
      <c r="E126" t="str">
        <f>("W50 B498e 2004")</f>
        <v>W50 B498e 2004</v>
      </c>
      <c r="F126" t="str">
        <f>("2013/10/01 00:00:00")</f>
        <v>2013/10/01 00:00:00</v>
      </c>
      <c r="G126" t="str">
        <f>("2004")</f>
        <v>2004</v>
      </c>
      <c r="H126" t="str">
        <f>("大林慈院醫倫、醫法區")</f>
        <v>大林慈院醫倫、醫法區</v>
      </c>
      <c r="I126" t="str">
        <f>("PGY")</f>
        <v>PGY</v>
      </c>
    </row>
    <row r="127" spans="1:9">
      <c r="A127" t="str">
        <f>("D0010377")</f>
        <v>D0010377</v>
      </c>
      <c r="B127" t="str">
        <f>("Bioethics :an introduction to the history, methods, and practice /")</f>
        <v>Bioethics :an introduction to the history, methods, and practice /</v>
      </c>
      <c r="C127" t="str">
        <f>("Jecker, Nancy Ann Silbergeld. ;Jonsen, Albert R. ;Pearlman, Robert A. ")</f>
        <v xml:space="preserve">Jecker, Nancy Ann Silbergeld. ;Jonsen, Albert R. ;Pearlman, Robert A. </v>
      </c>
      <c r="D127" t="str">
        <f>("Jones and Bartlett Publishers,")</f>
        <v>Jones and Bartlett Publishers,</v>
      </c>
      <c r="E127" t="str">
        <f>("W50 B6142 2007")</f>
        <v>W50 B6142 2007</v>
      </c>
      <c r="F127" t="str">
        <f>("2013/10/01 00:00:00")</f>
        <v>2013/10/01 00:00:00</v>
      </c>
      <c r="G127" t="str">
        <f>("2007")</f>
        <v>2007</v>
      </c>
      <c r="H127" t="str">
        <f>("大林慈院醫倫、醫法區")</f>
        <v>大林慈院醫倫、醫法區</v>
      </c>
      <c r="I127" t="str">
        <f>("學習資源組")</f>
        <v>學習資源組</v>
      </c>
    </row>
    <row r="128" spans="1:9">
      <c r="A128" t="str">
        <f>("D0005903")</f>
        <v>D0005903</v>
      </c>
      <c r="B128" t="str">
        <f>("Biomedical ethics /")</f>
        <v>Biomedical ethics /</v>
      </c>
      <c r="C128" t="str">
        <f>("DeGraziaDavid ;MappesThomas A ")</f>
        <v xml:space="preserve">DeGraziaDavid ;MappesThomas A </v>
      </c>
      <c r="D128" t="str">
        <f>("McGraw-Hill,")</f>
        <v>McGraw-Hill,</v>
      </c>
      <c r="E128" t="str">
        <f>("W50 B615 2001")</f>
        <v>W50 B615 2001</v>
      </c>
      <c r="F128" t="str">
        <f>("2013/10/01 00:00:00")</f>
        <v>2013/10/01 00:00:00</v>
      </c>
      <c r="G128" t="str">
        <f>("2001")</f>
        <v>2001</v>
      </c>
      <c r="H128" t="str">
        <f>("大林慈院醫倫、醫法區")</f>
        <v>大林慈院醫倫、醫法區</v>
      </c>
      <c r="I128" t="str">
        <f>("教學部")</f>
        <v>教學部</v>
      </c>
    </row>
    <row r="129" spans="1:9">
      <c r="A129" t="str">
        <f>("D0004201")</f>
        <v>D0004201</v>
      </c>
      <c r="B129" t="str">
        <f>("Ethics of health care :a guide for clinical practice /")</f>
        <v>Ethics of health care :a guide for clinical practice /</v>
      </c>
      <c r="C129" t="str">
        <f>("Edge, Raymond S ")</f>
        <v xml:space="preserve">Edge, Raymond S </v>
      </c>
      <c r="D129" t="str">
        <f>("Delmar Publishers,")</f>
        <v>Delmar Publishers,</v>
      </c>
      <c r="E129" t="str">
        <f>("W50 E23 1999")</f>
        <v>W50 E23 1999</v>
      </c>
      <c r="F129" t="str">
        <f>("2013/10/01 00:00:00")</f>
        <v>2013/10/01 00:00:00</v>
      </c>
      <c r="G129" t="str">
        <f>("1999")</f>
        <v>1999</v>
      </c>
      <c r="H129" t="str">
        <f>("大林慈院醫倫、醫法區")</f>
        <v>大林慈院醫倫、醫法區</v>
      </c>
    </row>
    <row r="130" spans="1:9">
      <c r="A130" t="str">
        <f>("D0007761")</f>
        <v>D0007761</v>
      </c>
      <c r="B130" t="str">
        <f>("Ethics of health care :a guide for clinical practice /")</f>
        <v>Ethics of health care :a guide for clinical practice /</v>
      </c>
      <c r="C130" t="str">
        <f>("Edge, Raymond S. ")</f>
        <v xml:space="preserve">Edge, Raymond S. </v>
      </c>
      <c r="D130" t="str">
        <f>("Thomson Delmar Learning,")</f>
        <v>Thomson Delmar Learning,</v>
      </c>
      <c r="E130" t="str">
        <f>("W50 E23 2006")</f>
        <v>W50 E23 2006</v>
      </c>
      <c r="F130" t="str">
        <f>("2013/10/01 00:00:00")</f>
        <v>2013/10/01 00:00:00</v>
      </c>
      <c r="G130" t="str">
        <f>("2006")</f>
        <v>2006</v>
      </c>
      <c r="H130" t="str">
        <f>("大林慈院醫倫、醫法區")</f>
        <v>大林慈院醫倫、醫法區</v>
      </c>
    </row>
    <row r="131" spans="1:9">
      <c r="A131" t="str">
        <f>("D0001145")</f>
        <v>D0001145</v>
      </c>
      <c r="B131" t="str">
        <f>("Intervention and reflection :basic issues in medical ethics : [readings /")</f>
        <v>Intervention and reflection :basic issues in medical ethics : [readings /</v>
      </c>
      <c r="C131" t="str">
        <f>("Munson, Ronald,1939- ")</f>
        <v xml:space="preserve">Munson, Ronald,1939- </v>
      </c>
      <c r="D131" t="str">
        <f>("Wadsworth Pub. Co.,")</f>
        <v>Wadsworth Pub. Co.,</v>
      </c>
      <c r="E131" t="str">
        <f>("W50 I61 1983")</f>
        <v>W50 I61 1983</v>
      </c>
      <c r="F131" t="str">
        <f>("2013/10/01 00:00:00")</f>
        <v>2013/10/01 00:00:00</v>
      </c>
      <c r="G131" t="str">
        <f>("1983")</f>
        <v>1983</v>
      </c>
      <c r="H131" t="str">
        <f>("大林慈院醫倫、醫法區")</f>
        <v>大林慈院醫倫、醫法區</v>
      </c>
    </row>
    <row r="132" spans="1:9">
      <c r="A132" t="str">
        <f>("D0005958")</f>
        <v>D0005958</v>
      </c>
      <c r="B132" t="str">
        <f>("Clinical ethics :  a practical approach to ethical decisions in clinical medicine / ")</f>
        <v xml:space="preserve">Clinical ethics :  a practical approach to ethical decisions in clinical medicine / </v>
      </c>
      <c r="C132" t="str">
        <f>("Jonsen, Albert R. ")</f>
        <v xml:space="preserve">Jonsen, Albert R. </v>
      </c>
      <c r="D132" t="str">
        <f>(" McGraw Hill, Medical Pub. Division, ")</f>
        <v xml:space="preserve"> McGraw Hill, Medical Pub. Division, </v>
      </c>
      <c r="E132" t="str">
        <f>("W50 J81 2002")</f>
        <v>W50 J81 2002</v>
      </c>
      <c r="F132" t="str">
        <f>("2013/10/01 00:00:00")</f>
        <v>2013/10/01 00:00:00</v>
      </c>
      <c r="G132" t="str">
        <f>("2002")</f>
        <v>2002</v>
      </c>
      <c r="H132" t="str">
        <f>("大林慈院醫倫、醫法區")</f>
        <v>大林慈院醫倫、醫法區</v>
      </c>
      <c r="I132" t="str">
        <f>("教學部")</f>
        <v>教學部</v>
      </c>
    </row>
    <row r="133" spans="1:9">
      <c r="A133" t="str">
        <f>("D0007760")</f>
        <v>D0007760</v>
      </c>
      <c r="B133" t="str">
        <f>("Clinical ethics :  a practical approach to ethical decisions in clinical medicine / ")</f>
        <v xml:space="preserve">Clinical ethics :  a practical approach to ethical decisions in clinical medicine / </v>
      </c>
      <c r="C133" t="str">
        <f>("Jonsen, Albert R. ")</f>
        <v xml:space="preserve">Jonsen, Albert R. </v>
      </c>
      <c r="D133" t="str">
        <f>(" McGraw Hill, Medical Pub. Division, ")</f>
        <v xml:space="preserve"> McGraw Hill, Medical Pub. Division, </v>
      </c>
      <c r="E133" t="str">
        <f>("W50 J81 2002 c.2")</f>
        <v>W50 J81 2002 c.2</v>
      </c>
      <c r="F133" t="str">
        <f>("2013/10/01 00:00:00")</f>
        <v>2013/10/01 00:00:00</v>
      </c>
      <c r="G133" t="str">
        <f>("2002")</f>
        <v>2002</v>
      </c>
      <c r="H133" t="str">
        <f>("大林慈院醫倫、醫法區")</f>
        <v>大林慈院醫倫、醫法區</v>
      </c>
      <c r="I133" t="str">
        <f>("教學部")</f>
        <v>教學部</v>
      </c>
    </row>
    <row r="134" spans="1:9">
      <c r="A134" t="str">
        <f>("D0004122")</f>
        <v>D0004122</v>
      </c>
      <c r="B134" t="str">
        <f>("MEDICAL ETHICS")</f>
        <v>MEDICAL ETHICS</v>
      </c>
      <c r="C134" t="str">
        <f>("")</f>
        <v/>
      </c>
      <c r="D134" t="str">
        <f>("Jones and Bartlett Publishers")</f>
        <v>Jones and Bartlett Publishers</v>
      </c>
      <c r="E134" t="str">
        <f>("W50 M482 1997")</f>
        <v>W50 M482 1997</v>
      </c>
      <c r="F134" t="str">
        <f>("2013/10/01 00:00:00")</f>
        <v>2013/10/01 00:00:00</v>
      </c>
      <c r="G134" t="str">
        <f>("1997")</f>
        <v>1997</v>
      </c>
      <c r="H134" t="str">
        <f>("大林慈院醫倫、醫法區")</f>
        <v>大林慈院醫倫、醫法區</v>
      </c>
    </row>
    <row r="135" spans="1:9">
      <c r="A135" t="str">
        <f>("D0004147")</f>
        <v>D0004147</v>
      </c>
      <c r="B135" t="str">
        <f>("Medical ethics /")</f>
        <v>Medical ethics /</v>
      </c>
      <c r="C135" t="str">
        <f>("Campbell, Alastair V. ")</f>
        <v xml:space="preserve">Campbell, Alastair V. </v>
      </c>
      <c r="D135" t="str">
        <f>("Oxford University Press,")</f>
        <v>Oxford University Press,</v>
      </c>
      <c r="E135" t="str">
        <f>("W50 M4821 2001")</f>
        <v>W50 M4821 2001</v>
      </c>
      <c r="F135" t="str">
        <f>("2013/10/01 00:00:00")</f>
        <v>2013/10/01 00:00:00</v>
      </c>
      <c r="G135" t="str">
        <f>("2001")</f>
        <v>2001</v>
      </c>
      <c r="H135" t="str">
        <f>("大林慈院醫倫、醫法區")</f>
        <v>大林慈院醫倫、醫法區</v>
      </c>
    </row>
    <row r="136" spans="1:9">
      <c r="A136" t="str">
        <f>("D0005582")</f>
        <v>D0005582</v>
      </c>
      <c r="B136" t="str">
        <f>("Case studies in biomedical research ethics /")</f>
        <v>Case studies in biomedical research ethics /</v>
      </c>
      <c r="C136" t="str">
        <f>("MurphyTimothy F.,1955 ")</f>
        <v xml:space="preserve">MurphyTimothy F.,1955 </v>
      </c>
      <c r="D136" t="str">
        <f>("MIT Press,")</f>
        <v>MIT Press,</v>
      </c>
      <c r="E136" t="str">
        <f>("W50 M865 2004")</f>
        <v>W50 M865 2004</v>
      </c>
      <c r="F136" t="str">
        <f>("2013/10/01 00:00:00")</f>
        <v>2013/10/01 00:00:00</v>
      </c>
      <c r="G136" t="str">
        <f>("2004")</f>
        <v>2004</v>
      </c>
      <c r="H136" t="str">
        <f>("大林慈院醫倫、醫法區")</f>
        <v>大林慈院醫倫、醫法區</v>
      </c>
      <c r="I136" t="str">
        <f>("PGY")</f>
        <v>PGY</v>
      </c>
    </row>
    <row r="137" spans="1:9">
      <c r="A137" t="str">
        <f>("D0008052")</f>
        <v>D0008052</v>
      </c>
      <c r="B137" t="str">
        <f>("Ethical dimensions in the health professions /")</f>
        <v>Ethical dimensions in the health professions /</v>
      </c>
      <c r="C137" t="str">
        <f>("Purtilo, Ruth B. ")</f>
        <v xml:space="preserve">Purtilo, Ruth B. </v>
      </c>
      <c r="D137" t="str">
        <f>("Elsevier Saunders,")</f>
        <v>Elsevier Saunders,</v>
      </c>
      <c r="E137" t="str">
        <f>("W50 P986E 2005")</f>
        <v>W50 P986E 2005</v>
      </c>
      <c r="F137" t="str">
        <f>("2013/10/01 00:00:00")</f>
        <v>2013/10/01 00:00:00</v>
      </c>
      <c r="G137" t="str">
        <f>("2005")</f>
        <v>2005</v>
      </c>
      <c r="H137" t="str">
        <f>("大林慈院醫倫、醫法區")</f>
        <v>大林慈院醫倫、醫法區</v>
      </c>
    </row>
    <row r="138" spans="1:9">
      <c r="A138" t="str">
        <f>("D0010496")</f>
        <v>D0010496</v>
      </c>
      <c r="B138" t="str">
        <f>("Public health ethics /")</f>
        <v>Public health ethics /</v>
      </c>
      <c r="C138" t="str">
        <f>("Holland, Stephen1963- (Stephen Michael),")</f>
        <v>Holland, Stephen1963- (Stephen Michael),</v>
      </c>
      <c r="D138" t="str">
        <f>("Polity,")</f>
        <v>Polity,</v>
      </c>
      <c r="E138" t="str">
        <f>("WA21 H737 2007")</f>
        <v>WA21 H737 2007</v>
      </c>
      <c r="F138" t="str">
        <f>("2013/10/01 00:00:00")</f>
        <v>2013/10/01 00:00:00</v>
      </c>
      <c r="G138" t="str">
        <f>("2007")</f>
        <v>2007</v>
      </c>
      <c r="H138" t="str">
        <f>("大林慈院醫倫、醫法區")</f>
        <v>大林慈院醫倫、醫法區</v>
      </c>
    </row>
    <row r="139" spans="1:9">
      <c r="A139" t="str">
        <f>("D0010473")</f>
        <v>D0010473</v>
      </c>
      <c r="B139" t="str">
        <f>("Public health ethics :theory, policy, and practice /")</f>
        <v>Public health ethics :theory, policy, and practice /</v>
      </c>
      <c r="C139" t="str">
        <f>("Bayer, Ronald. ;Beauchamp, Dan E. ")</f>
        <v xml:space="preserve">Bayer, Ronald. ;Beauchamp, Dan E. </v>
      </c>
      <c r="D139" t="str">
        <f>("Oxford University Press,")</f>
        <v>Oxford University Press,</v>
      </c>
      <c r="E139" t="str">
        <f>("WA21 P9752 2007")</f>
        <v>WA21 P9752 2007</v>
      </c>
      <c r="F139" t="str">
        <f>("2013/10/01 00:00:00")</f>
        <v>2013/10/01 00:00:00</v>
      </c>
      <c r="G139" t="str">
        <f>("2007")</f>
        <v>2007</v>
      </c>
      <c r="H139" t="str">
        <f>("大林慈院醫倫、醫法區")</f>
        <v>大林慈院醫倫、醫法區</v>
      </c>
    </row>
    <row r="140" spans="1:9">
      <c r="A140" t="str">
        <f>("D0010897")</f>
        <v>D0010897</v>
      </c>
      <c r="B140" t="str">
        <f>("Ethnicity, race, and health in multicultural societiesfoundations for better epidemiology, public health and health care /")</f>
        <v>Ethnicity, race, and health in multicultural societiesfoundations for better epidemiology, public health and health care /</v>
      </c>
      <c r="C140" t="str">
        <f>("Bhopal, Raj S ")</f>
        <v xml:space="preserve">Bhopal, Raj S </v>
      </c>
      <c r="D140" t="str">
        <f>("Oxford University Press,")</f>
        <v>Oxford University Press,</v>
      </c>
      <c r="E140" t="str">
        <f>("WA300 B56 2007")</f>
        <v>WA300 B56 2007</v>
      </c>
      <c r="F140" t="str">
        <f>("2013/10/01 00:00:00")</f>
        <v>2013/10/01 00:00:00</v>
      </c>
      <c r="G140" t="str">
        <f>("2007")</f>
        <v>2007</v>
      </c>
      <c r="H140" t="str">
        <f>("大林慈院醫倫、醫法區")</f>
        <v>大林慈院醫倫、醫法區</v>
      </c>
      <c r="I140" t="str">
        <f>("PGY")</f>
        <v>PGY</v>
      </c>
    </row>
    <row r="141" spans="1:9">
      <c r="A141" t="str">
        <f>("D0008050")</f>
        <v>D0008050</v>
      </c>
      <c r="B141" t="str">
        <f>("Studying a study and testing a test :how to read the medical evidence /")</f>
        <v>Studying a study and testing a test :how to read the medical evidence /</v>
      </c>
      <c r="C141" t="str">
        <f>("Riegelman, Richard K ")</f>
        <v xml:space="preserve">Riegelman, Richard K </v>
      </c>
      <c r="D141" t="str">
        <f>("Lippincott Williams &amp; Wilkins,")</f>
        <v>Lippincott Williams &amp; Wilkins,</v>
      </c>
      <c r="E141" t="str">
        <f>("WA950 R554S 2005")</f>
        <v>WA950 R554S 2005</v>
      </c>
      <c r="F141" t="str">
        <f>("2013/10/01 00:00:00")</f>
        <v>2013/10/01 00:00:00</v>
      </c>
      <c r="G141" t="str">
        <f>("2005")</f>
        <v>2005</v>
      </c>
      <c r="H141" t="str">
        <f>("大林慈院醫倫、醫法區")</f>
        <v>大林慈院醫倫、醫法區</v>
      </c>
    </row>
    <row r="142" spans="1:9">
      <c r="A142" t="str">
        <f>("D0005578")</f>
        <v>D0005578</v>
      </c>
      <c r="B142" t="str">
        <f>("Medical errors and medical narcissism /")</f>
        <v>Medical errors and medical narcissism /</v>
      </c>
      <c r="C142" t="str">
        <f>("Banja, John D ")</f>
        <v xml:space="preserve">Banja, John D </v>
      </c>
      <c r="D142" t="str">
        <f>("Jones and Bartlett Publishers,")</f>
        <v>Jones and Bartlett Publishers,</v>
      </c>
      <c r="E142" t="str">
        <f>("WB100 B217m 2005")</f>
        <v>WB100 B217m 2005</v>
      </c>
      <c r="F142" t="str">
        <f>("2013/10/01 00:00:00")</f>
        <v>2013/10/01 00:00:00</v>
      </c>
      <c r="G142" t="str">
        <f>("2005")</f>
        <v>2005</v>
      </c>
      <c r="H142" t="str">
        <f>("大林慈院醫倫、醫法區")</f>
        <v>大林慈院醫倫、醫法區</v>
      </c>
      <c r="I142" t="str">
        <f>("PGY")</f>
        <v>PGY</v>
      </c>
    </row>
    <row r="143" spans="1:9">
      <c r="A143" t="str">
        <f>("D0005773")</f>
        <v>D0005773</v>
      </c>
      <c r="B143" t="str">
        <f>("Ending life :ethics and the way we die /")</f>
        <v>Ending life :ethics and the way we die /</v>
      </c>
      <c r="C143" t="str">
        <f>("BattinM. Pabst ")</f>
        <v xml:space="preserve">BattinM. Pabst </v>
      </c>
      <c r="D143" t="str">
        <f>("Oxford University Press,")</f>
        <v>Oxford University Press,</v>
      </c>
      <c r="E143" t="str">
        <f>("WB60 B336 2005")</f>
        <v>WB60 B336 2005</v>
      </c>
      <c r="F143" t="str">
        <f>("2013/10/01 00:00:00")</f>
        <v>2013/10/01 00:00:00</v>
      </c>
      <c r="G143" t="str">
        <f>("2005")</f>
        <v>2005</v>
      </c>
      <c r="H143" t="str">
        <f>("大林慈院醫倫、醫法區")</f>
        <v>大林慈院醫倫、醫法區</v>
      </c>
      <c r="I143" t="str">
        <f>("PGY")</f>
        <v>PGY</v>
      </c>
    </row>
    <row r="144" spans="1:9">
      <c r="A144" t="str">
        <f>("D0010599")</f>
        <v>D0010599</v>
      </c>
      <c r="B144" t="str">
        <f>("Death, dying and the ending of life /")</f>
        <v>Death, dying and the ending of life /</v>
      </c>
      <c r="C144" t="str">
        <f>("Battin, M. Pabst. ;Francis, Leslie,1946- ;Landesman, Bruce M. ")</f>
        <v xml:space="preserve">Battin, M. Pabst. ;Francis, Leslie,1946- ;Landesman, Bruce M. </v>
      </c>
      <c r="D144" t="str">
        <f>("Ashgate,")</f>
        <v>Ashgate,</v>
      </c>
      <c r="E144" t="str">
        <f>("WB60 D285 2007 v.1")</f>
        <v>WB60 D285 2007 v.1</v>
      </c>
      <c r="F144" t="str">
        <f>("2013/10/01 00:00:00")</f>
        <v>2013/10/01 00:00:00</v>
      </c>
      <c r="G144" t="str">
        <f>("2007")</f>
        <v>2007</v>
      </c>
      <c r="H144" t="str">
        <f>("大林慈院醫倫、醫法區")</f>
        <v>大林慈院醫倫、醫法區</v>
      </c>
    </row>
    <row r="145" spans="1:9">
      <c r="A145" t="str">
        <f>("D0010600")</f>
        <v>D0010600</v>
      </c>
      <c r="B145" t="str">
        <f>("Death, dying and the ending of life /")</f>
        <v>Death, dying and the ending of life /</v>
      </c>
      <c r="C145" t="str">
        <f>("Battin, M. Pabst. ;Francis, Leslie,1946- ;Landesman, Bruce M. ")</f>
        <v xml:space="preserve">Battin, M. Pabst. ;Francis, Leslie,1946- ;Landesman, Bruce M. </v>
      </c>
      <c r="D145" t="str">
        <f>("Ashgate,")</f>
        <v>Ashgate,</v>
      </c>
      <c r="E145" t="str">
        <f>("WB60 D285 2007 v.2")</f>
        <v>WB60 D285 2007 v.2</v>
      </c>
      <c r="F145" t="str">
        <f>("2013/10/01 00:00:00")</f>
        <v>2013/10/01 00:00:00</v>
      </c>
      <c r="G145" t="str">
        <f>("2007")</f>
        <v>2007</v>
      </c>
      <c r="H145" t="str">
        <f>("大林慈院醫倫、醫法區")</f>
        <v>大林慈院醫倫、醫法區</v>
      </c>
    </row>
    <row r="146" spans="1:9">
      <c r="A146" t="str">
        <f>("D0010612")</f>
        <v>D0010612</v>
      </c>
      <c r="B146" t="str">
        <f>("Bioethics :a systematic approach /")</f>
        <v>Bioethics :a systematic approach /</v>
      </c>
      <c r="C146" t="str">
        <f>("Gert,Bernard,1934- ")</f>
        <v xml:space="preserve">Gert,Bernard,1934- </v>
      </c>
      <c r="D146" t="str">
        <f>("Oxford University Press,")</f>
        <v>Oxford University Press,</v>
      </c>
      <c r="E146" t="str">
        <f>("WB60 G384 2006")</f>
        <v>WB60 G384 2006</v>
      </c>
      <c r="F146" t="str">
        <f>("2013/10/01 00:00:00")</f>
        <v>2013/10/01 00:00:00</v>
      </c>
      <c r="G146" t="str">
        <f>("2006")</f>
        <v>2006</v>
      </c>
      <c r="H146" t="str">
        <f>("大林慈院醫倫、醫法區")</f>
        <v>大林慈院醫倫、醫法區</v>
      </c>
      <c r="I146" t="str">
        <f>("學習資源組")</f>
        <v>學習資源組</v>
      </c>
    </row>
    <row r="147" spans="1:9">
      <c r="A147" t="str">
        <f>("D0005579")</f>
        <v>D0005579</v>
      </c>
      <c r="B147" t="str">
        <f>("Ethics and evidence-based medicine :fallibility and responsibility in clinical science /")</f>
        <v>Ethics and evidence-based medicine :fallibility and responsibility in clinical science /</v>
      </c>
      <c r="C147" t="str">
        <f>("GoodmanKenneth W.,1954- ")</f>
        <v xml:space="preserve">GoodmanKenneth W.,1954- </v>
      </c>
      <c r="D147" t="str">
        <f>("Cambridge University Press,")</f>
        <v>Cambridge University Press,</v>
      </c>
      <c r="E147" t="str">
        <f>("WB60 G653 2003")</f>
        <v>WB60 G653 2003</v>
      </c>
      <c r="F147" t="str">
        <f>("2013/10/01 00:00:00")</f>
        <v>2013/10/01 00:00:00</v>
      </c>
      <c r="G147" t="str">
        <f>("2003")</f>
        <v>2003</v>
      </c>
      <c r="H147" t="str">
        <f>("大林慈院醫倫、醫法區")</f>
        <v>大林慈院醫倫、醫法區</v>
      </c>
      <c r="I147" t="str">
        <f>("PGY")</f>
        <v>PGY</v>
      </c>
    </row>
    <row r="148" spans="1:9">
      <c r="A148" t="str">
        <f>("D0001451")</f>
        <v>D0001451</v>
      </c>
      <c r="B148" t="str">
        <f>("Bioethics :a philosophical introduction /")</f>
        <v>Bioethics :a philosophical introduction /</v>
      </c>
      <c r="C148" t="str">
        <f>("Holland, Stephen ")</f>
        <v xml:space="preserve">Holland, Stephen </v>
      </c>
      <c r="D148" t="str">
        <f>("Polity Press ;;Distributedin the USA by Blackwell Pub.,")</f>
        <v>Polity Press ;;Distributedin the USA by Blackwell Pub.,</v>
      </c>
      <c r="E148" t="str">
        <f>("WB60 H737 2003")</f>
        <v>WB60 H737 2003</v>
      </c>
      <c r="F148" t="str">
        <f>("2013/10/01 00:00:00")</f>
        <v>2013/10/01 00:00:00</v>
      </c>
      <c r="G148" t="str">
        <f>("2003")</f>
        <v>2003</v>
      </c>
      <c r="H148" t="str">
        <f>("大林慈院醫倫、醫法區")</f>
        <v>大林慈院醫倫、醫法區</v>
      </c>
    </row>
    <row r="149" spans="1:9">
      <c r="A149" t="str">
        <f>("D0008820")</f>
        <v>D0008820</v>
      </c>
      <c r="B149" t="str">
        <f>("Clinical ethics :  a practical approach to ethical decisions in clinical medicine / ")</f>
        <v xml:space="preserve">Clinical ethics :  a practical approach to ethical decisions in clinical medicine / </v>
      </c>
      <c r="C149" t="str">
        <f>("Jonsen, Albert R. ")</f>
        <v xml:space="preserve">Jonsen, Albert R. </v>
      </c>
      <c r="D149" t="str">
        <f>(" McGraw Hill, Medical Pub. Division, ")</f>
        <v xml:space="preserve"> McGraw Hill, Medical Pub. Division, </v>
      </c>
      <c r="E149" t="str">
        <f>("WB60 J81 2006")</f>
        <v>WB60 J81 2006</v>
      </c>
      <c r="F149" t="str">
        <f>("2013/10/01 00:00:00")</f>
        <v>2013/10/01 00:00:00</v>
      </c>
      <c r="G149" t="str">
        <f>("2006")</f>
        <v>2006</v>
      </c>
      <c r="H149" t="str">
        <f>("大林慈院醫倫、醫法區")</f>
        <v>大林慈院醫倫、醫法區</v>
      </c>
      <c r="I149" t="str">
        <f>("PGY")</f>
        <v>PGY</v>
      </c>
    </row>
    <row r="150" spans="1:9">
      <c r="A150" t="str">
        <f>("D0008051")</f>
        <v>D0008051</v>
      </c>
      <c r="B150" t="str">
        <f>("Bioethics :an introduction for the biosciences /")</f>
        <v>Bioethics :an introduction for the biosciences /</v>
      </c>
      <c r="C150" t="str">
        <f>("Mepham, T. B. ")</f>
        <v xml:space="preserve">Mepham, T. B. </v>
      </c>
      <c r="D150" t="str">
        <f>("Oxford University Press,")</f>
        <v>Oxford University Press,</v>
      </c>
      <c r="E150" t="str">
        <f>("WB60 M47 2005")</f>
        <v>WB60 M47 2005</v>
      </c>
      <c r="F150" t="str">
        <f>("2013/10/01 00:00:00")</f>
        <v>2013/10/01 00:00:00</v>
      </c>
      <c r="G150" t="str">
        <f>("2005")</f>
        <v>2005</v>
      </c>
      <c r="H150" t="str">
        <f>("大林慈院醫倫、醫法區")</f>
        <v>大林慈院醫倫、醫法區</v>
      </c>
    </row>
    <row r="151" spans="1:9">
      <c r="A151" t="str">
        <f>("D0002181")</f>
        <v>D0002181</v>
      </c>
      <c r="B151" t="str">
        <f>("Ethics in mental health practice /")</f>
        <v>Ethics in mental health practice /</v>
      </c>
      <c r="C151" t="str">
        <f>("Kentsmith, David K. ;Miya, Pamela A. ;Salladay, Susan A. ")</f>
        <v xml:space="preserve">Kentsmith, David K. ;Miya, Pamela A. ;Salladay, Susan A. </v>
      </c>
      <c r="D151" t="str">
        <f>("Grune &amp; Stratton,")</f>
        <v>Grune &amp; Stratton,</v>
      </c>
      <c r="E151" t="str">
        <f>("WS462 K37 1986")</f>
        <v>WS462 K37 1986</v>
      </c>
      <c r="F151" t="str">
        <f>("2013/10/01 00:00:00")</f>
        <v>2013/10/01 00:00:00</v>
      </c>
      <c r="G151" t="str">
        <f>("1986")</f>
        <v>1986</v>
      </c>
      <c r="H151" t="str">
        <f>("大林慈院醫倫、醫法區")</f>
        <v>大林慈院醫倫、醫法區</v>
      </c>
    </row>
    <row r="152" spans="1:9">
      <c r="A152" t="str">
        <f>("D0005961")</f>
        <v>D0005961</v>
      </c>
      <c r="B152" t="str">
        <f>("Nursing ethics :holistic caring practice /")</f>
        <v>Nursing ethics :holistic caring practice /</v>
      </c>
      <c r="C152" t="str">
        <f>("BishopAnne H ")</f>
        <v xml:space="preserve">BishopAnne H </v>
      </c>
      <c r="D152" t="str">
        <f>("Jones and Bartlett Publishers,")</f>
        <v>Jones and Bartlett Publishers,</v>
      </c>
      <c r="E152" t="str">
        <f>("WY85 B622 2001")</f>
        <v>WY85 B622 2001</v>
      </c>
      <c r="F152" t="str">
        <f>("2013/10/01 00:00:00")</f>
        <v>2013/10/01 00:00:00</v>
      </c>
      <c r="G152" t="str">
        <f>("2001")</f>
        <v>2001</v>
      </c>
      <c r="H152" t="str">
        <f>("大林慈院醫倫、醫法區")</f>
        <v>大林慈院醫倫、醫法區</v>
      </c>
      <c r="I152" t="str">
        <f>("護理部")</f>
        <v>護理部</v>
      </c>
    </row>
    <row r="153" spans="1:9">
      <c r="A153" t="str">
        <f>("D0010378")</f>
        <v>D0010378</v>
      </c>
      <c r="B153" t="str">
        <f>("Nursing ethics /")</f>
        <v>Nursing ethics /</v>
      </c>
      <c r="C153" t="str">
        <f>("Thompson, Ian E. ")</f>
        <v xml:space="preserve">Thompson, Ian E. </v>
      </c>
      <c r="D153" t="str">
        <f>("Churchill Livingstone Elsevier,")</f>
        <v>Churchill Livingstone Elsevier,</v>
      </c>
      <c r="E153" t="str">
        <f>("WY85 N9745 2006")</f>
        <v>WY85 N9745 2006</v>
      </c>
      <c r="F153" t="str">
        <f>("2013/10/01 00:00:00")</f>
        <v>2013/10/01 00:00:00</v>
      </c>
      <c r="G153" t="str">
        <f>("2006")</f>
        <v>2006</v>
      </c>
      <c r="H153" t="str">
        <f>("大林慈院醫倫、醫法區")</f>
        <v>大林慈院醫倫、醫法區</v>
      </c>
      <c r="I153" t="str">
        <f>("學習資源組")</f>
        <v>學習資源組</v>
      </c>
    </row>
  </sheetData>
  <sortState ref="A2:J153">
    <sortCondition ref="E2:E153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opLeftCell="A58" workbookViewId="0">
      <selection activeCell="A81" sqref="A81"/>
    </sheetView>
  </sheetViews>
  <sheetFormatPr defaultRowHeight="16.5"/>
  <cols>
    <col min="1" max="1" width="9.875" bestFit="1" customWidth="1"/>
    <col min="2" max="2" width="47.125" customWidth="1"/>
    <col min="3" max="3" width="24.75" customWidth="1"/>
    <col min="4" max="5" width="22" customWidth="1"/>
    <col min="6" max="6" width="18.875" hidden="1" customWidth="1"/>
    <col min="7" max="7" width="11.875" customWidth="1"/>
    <col min="8" max="8" width="23.875" customWidth="1"/>
    <col min="9" max="9" width="16.625" bestFit="1" customWidth="1"/>
  </cols>
  <sheetData>
    <row r="1" spans="1:9" s="11" customFormat="1">
      <c r="A1" s="11" t="s">
        <v>640</v>
      </c>
      <c r="B1" s="11" t="s">
        <v>0</v>
      </c>
      <c r="C1" s="11" t="s">
        <v>641</v>
      </c>
      <c r="D1" s="11" t="s">
        <v>642</v>
      </c>
      <c r="E1" s="11" t="s">
        <v>1</v>
      </c>
      <c r="F1" s="11" t="s">
        <v>3468</v>
      </c>
      <c r="G1" s="11" t="s">
        <v>643</v>
      </c>
      <c r="H1" s="11" t="s">
        <v>644</v>
      </c>
      <c r="I1" s="11" t="s">
        <v>645</v>
      </c>
    </row>
    <row r="2" spans="1:9">
      <c r="A2" t="str">
        <f>("D0006351")</f>
        <v>D0006351</v>
      </c>
      <c r="B2" t="str">
        <f>("醫療社會學 /")</f>
        <v>醫療社會學 /</v>
      </c>
      <c r="C2" t="str">
        <f>("廖榮利 ;藍采風 ")</f>
        <v xml:space="preserve">廖榮利 ;藍采風 </v>
      </c>
      <c r="D2" t="str">
        <f>("三民,")</f>
        <v>三民,</v>
      </c>
      <c r="E2" t="str">
        <f>("410.2 8776 1992")</f>
        <v>410.2 8776 1992</v>
      </c>
      <c r="F2" t="str">
        <f>("2013/10/01 00:00:00")</f>
        <v>2013/10/01 00:00:00</v>
      </c>
      <c r="G2" t="str">
        <f>("1992")</f>
        <v>1992</v>
      </c>
      <c r="H2" t="str">
        <f>("大林慈院醫倫、醫法區")</f>
        <v>大林慈院醫倫、醫法區</v>
      </c>
    </row>
    <row r="3" spans="1:9">
      <c r="A3" t="str">
        <f>("D0006142")</f>
        <v>D0006142</v>
      </c>
      <c r="B3" t="str">
        <f>("醫事刑法要論 /")</f>
        <v>醫事刑法要論 /</v>
      </c>
      <c r="C3" t="str">
        <f>("蔡墩銘 ")</f>
        <v xml:space="preserve">蔡墩銘 </v>
      </c>
      <c r="D3" t="str">
        <f>("景泰,")</f>
        <v>景泰,</v>
      </c>
      <c r="E3" t="str">
        <f>("412.12 8476 1995")</f>
        <v>412.12 8476 1995</v>
      </c>
      <c r="F3" t="str">
        <f>("2013/10/01 00:00:00")</f>
        <v>2013/10/01 00:00:00</v>
      </c>
      <c r="G3" t="str">
        <f>("1995")</f>
        <v>1995</v>
      </c>
      <c r="H3" t="str">
        <f>("大林慈院醫倫、醫法區")</f>
        <v>大林慈院醫倫、醫法區</v>
      </c>
    </row>
    <row r="4" spans="1:9">
      <c r="A4" t="str">
        <f>("D0006192")</f>
        <v>D0006192</v>
      </c>
      <c r="B4" t="str">
        <f>("看診法門 :醫療倫理與法律 /")</f>
        <v>看診法門 :醫療倫理與法律 /</v>
      </c>
      <c r="C4" t="str">
        <f>("文衍正 ")</f>
        <v xml:space="preserve">文衍正 </v>
      </c>
      <c r="D4" t="str">
        <f>("永然文化出版,")</f>
        <v>永然文化出版,</v>
      </c>
      <c r="E4" t="str">
        <f>("412.12 8674 2000")</f>
        <v>412.12 8674 2000</v>
      </c>
      <c r="F4" t="str">
        <f>("2013/10/01 00:00:00")</f>
        <v>2013/10/01 00:00:00</v>
      </c>
      <c r="G4" t="str">
        <f>("2000")</f>
        <v>2000</v>
      </c>
      <c r="H4" t="str">
        <f>("大林慈院醫倫、醫法區")</f>
        <v>大林慈院醫倫、醫法區</v>
      </c>
    </row>
    <row r="5" spans="1:9">
      <c r="A5" t="str">
        <f>("D0005492")</f>
        <v>D0005492</v>
      </c>
      <c r="B5" t="str">
        <f>("醫療法律 /")</f>
        <v>醫療法律 /</v>
      </c>
      <c r="C5" t="str">
        <f>("陳櫻琴 ")</f>
        <v xml:space="preserve">陳櫻琴 </v>
      </c>
      <c r="D5" t="str">
        <f>("五南,")</f>
        <v>五南,</v>
      </c>
      <c r="E5" t="str">
        <f>("412.126 8744 2004")</f>
        <v>412.126 8744 2004</v>
      </c>
      <c r="F5" t="str">
        <f>("2013/10/01 00:00:00")</f>
        <v>2013/10/01 00:00:00</v>
      </c>
      <c r="G5" t="str">
        <f>("2004")</f>
        <v>2004</v>
      </c>
      <c r="H5" t="str">
        <f>("大林慈院醫倫、醫法區")</f>
        <v>大林慈院醫倫、醫法區</v>
      </c>
      <c r="I5" t="str">
        <f>("PGY")</f>
        <v>PGY</v>
      </c>
    </row>
    <row r="6" spans="1:9">
      <c r="A6" t="str">
        <f>("D0006237")</f>
        <v>D0006237</v>
      </c>
      <c r="B6" t="str">
        <f>("醫療法解釋彙編/")</f>
        <v>醫療法解釋彙編/</v>
      </c>
      <c r="C6" t="str">
        <f>("")</f>
        <v/>
      </c>
      <c r="D6" t="str">
        <f>("行政院衛生署,")</f>
        <v>行政院衛生署,</v>
      </c>
      <c r="E6" t="str">
        <f>("412.126 8775 2000")</f>
        <v>412.126 8775 2000</v>
      </c>
      <c r="F6" t="str">
        <f>("2013/10/01 00:00:00")</f>
        <v>2013/10/01 00:00:00</v>
      </c>
      <c r="G6" t="str">
        <f>("2000")</f>
        <v>2000</v>
      </c>
      <c r="H6" t="str">
        <f>("大林慈院醫倫、醫法區")</f>
        <v>大林慈院醫倫、醫法區</v>
      </c>
    </row>
    <row r="7" spans="1:9">
      <c r="A7" t="str">
        <f>("D0000424")</f>
        <v>D0000424</v>
      </c>
      <c r="B7" t="str">
        <f>("醫療法解釋彙編/")</f>
        <v>醫療法解釋彙編/</v>
      </c>
      <c r="C7" t="str">
        <f>("")</f>
        <v/>
      </c>
      <c r="D7" t="str">
        <f>("行政院衛生署,")</f>
        <v>行政院衛生署,</v>
      </c>
      <c r="E7" t="str">
        <f>("412.126 8775 2000 c.2")</f>
        <v>412.126 8775 2000 c.2</v>
      </c>
      <c r="F7" t="str">
        <f>("2013/10/01 00:00:00")</f>
        <v>2013/10/01 00:00:00</v>
      </c>
      <c r="G7" t="str">
        <f>("2000")</f>
        <v>2000</v>
      </c>
      <c r="H7" t="str">
        <f>("大林慈院醫倫、醫法區")</f>
        <v>大林慈院醫倫、醫法區</v>
      </c>
    </row>
    <row r="8" spans="1:9">
      <c r="A8" t="str">
        <f>("D0004199")</f>
        <v>D0004199</v>
      </c>
      <c r="B8" t="str">
        <f>("醫療糾紛鑑定案例彙編")</f>
        <v>醫療糾紛鑑定案例彙編</v>
      </c>
      <c r="C8" t="str">
        <f>("")</f>
        <v/>
      </c>
      <c r="D8" t="str">
        <f>("行政院衛生署")</f>
        <v>行政院衛生署</v>
      </c>
      <c r="E8" t="str">
        <f>("412.2 8765 2001")</f>
        <v>412.2 8765 2001</v>
      </c>
      <c r="F8" t="str">
        <f>("2013/10/01 00:00:00")</f>
        <v>2013/10/01 00:00:00</v>
      </c>
      <c r="G8" t="str">
        <f>("2001")</f>
        <v>2001</v>
      </c>
      <c r="H8" t="str">
        <f>("大林慈院醫倫、醫法區")</f>
        <v>大林慈院醫倫、醫法區</v>
      </c>
    </row>
    <row r="9" spans="1:9">
      <c r="A9" t="str">
        <f>("D0011746")</f>
        <v>D0011746</v>
      </c>
      <c r="B9" t="str">
        <f>("醫護法規 /")</f>
        <v>醫護法規 /</v>
      </c>
      <c r="C9" t="str">
        <f>("曾育裕(法律) ")</f>
        <v xml:space="preserve">曾育裕(法律) </v>
      </c>
      <c r="D9" t="str">
        <f>("五南,")</f>
        <v>五南,</v>
      </c>
      <c r="E9" t="str">
        <f>("412.21 8333 2004")</f>
        <v>412.21 8333 2004</v>
      </c>
      <c r="F9" t="str">
        <f>("2013/10/01 00:00:00")</f>
        <v>2013/10/01 00:00:00</v>
      </c>
      <c r="G9" t="str">
        <f>("2004")</f>
        <v>2004</v>
      </c>
      <c r="H9" t="str">
        <f>("大林慈院醫倫、醫法區")</f>
        <v>大林慈院醫倫、醫法區</v>
      </c>
    </row>
    <row r="10" spans="1:9">
      <c r="A10" t="str">
        <f>("D0016484")</f>
        <v>D0016484</v>
      </c>
      <c r="B10" t="str">
        <f>("醫護法規 / ")</f>
        <v xml:space="preserve">醫護法規 / </v>
      </c>
      <c r="C10" t="str">
        <f>("曾育裕著")</f>
        <v>曾育裕著</v>
      </c>
      <c r="D10" t="str">
        <f>("五南, ")</f>
        <v xml:space="preserve">五南, </v>
      </c>
      <c r="E10" t="str">
        <f>("412.21 8333-2 2019")</f>
        <v>412.21 8333-2 2019</v>
      </c>
      <c r="F10" t="str">
        <f>("2020/04/14 00:00:00")</f>
        <v>2020/04/14 00:00:00</v>
      </c>
      <c r="G10" t="str">
        <f>("2019")</f>
        <v>2019</v>
      </c>
      <c r="H10" t="str">
        <f>("大林慈院醫倫、醫法區")</f>
        <v>大林慈院醫倫、醫法區</v>
      </c>
      <c r="I10" t="str">
        <f>("學習資源組")</f>
        <v>學習資源組</v>
      </c>
    </row>
    <row r="11" spans="1:9">
      <c r="A11" t="str">
        <f>("D0000934")</f>
        <v>D0000934</v>
      </c>
      <c r="B11" t="str">
        <f>("資訊科技篇&amp;醫事法律篇")</f>
        <v>資訊科技篇&amp;醫事法律篇</v>
      </c>
      <c r="C11" t="str">
        <f>("")</f>
        <v/>
      </c>
      <c r="D11" t="str">
        <f>("台灣醫務管理學會")</f>
        <v>台灣醫務管理學會</v>
      </c>
      <c r="E11" t="str">
        <f>("412.21 8337 2002")</f>
        <v>412.21 8337 2002</v>
      </c>
      <c r="F11" t="str">
        <f>("2013/10/01 00:00:00")</f>
        <v>2013/10/01 00:00:00</v>
      </c>
      <c r="G11" t="str">
        <f>("2002")</f>
        <v>2002</v>
      </c>
      <c r="H11" t="str">
        <f>("大林慈院醫倫、醫法區")</f>
        <v>大林慈院醫倫、醫法區</v>
      </c>
    </row>
    <row r="12" spans="1:9">
      <c r="A12" t="str">
        <f>("D0004138")</f>
        <v>D0004138</v>
      </c>
      <c r="B12" t="str">
        <f>("醫療.法律與生命倫理 =Medical. law and life /")</f>
        <v>醫療.法律與生命倫理 =Medical. law and life /</v>
      </c>
      <c r="C12" t="str">
        <f>("黃丁全 ")</f>
        <v xml:space="preserve">黃丁全 </v>
      </c>
      <c r="D12" t="str">
        <f>("宏文館圖書出版,")</f>
        <v>宏文館圖書出版,</v>
      </c>
      <c r="E12" t="str">
        <f>("412.21 8356 1998")</f>
        <v>412.21 8356 1998</v>
      </c>
      <c r="F12" t="str">
        <f>("2013/10/01 00:00:00")</f>
        <v>2013/10/01 00:00:00</v>
      </c>
      <c r="G12" t="str">
        <f>("1998")</f>
        <v>1998</v>
      </c>
      <c r="H12" t="str">
        <f>("大林慈院醫倫、醫法區")</f>
        <v>大林慈院醫倫、醫法區</v>
      </c>
    </row>
    <row r="13" spans="1:9">
      <c r="A13" t="str">
        <f>("D0004198")</f>
        <v>D0004198</v>
      </c>
      <c r="B13" t="str">
        <f>("醫事法 /")</f>
        <v>醫事法 /</v>
      </c>
      <c r="C13" t="str">
        <f>("黃丁全 ")</f>
        <v xml:space="preserve">黃丁全 </v>
      </c>
      <c r="D13" t="str">
        <f>("元照,")</f>
        <v>元照,</v>
      </c>
      <c r="E13" t="str">
        <f>("412.21 8356 2000")</f>
        <v>412.21 8356 2000</v>
      </c>
      <c r="F13" t="str">
        <f>("2013/10/01 00:00:00")</f>
        <v>2013/10/01 00:00:00</v>
      </c>
      <c r="G13" t="str">
        <f>("2000")</f>
        <v>2000</v>
      </c>
      <c r="H13" t="str">
        <f>("大林慈院醫倫、醫法區")</f>
        <v>大林慈院醫倫、醫法區</v>
      </c>
    </row>
    <row r="14" spans="1:9">
      <c r="A14" t="str">
        <f>("D0016204")</f>
        <v>D0016204</v>
      </c>
      <c r="B14" t="str">
        <f>("最美的姿態說再見 : 病人自主權利法的內涵與實踐 / ")</f>
        <v xml:space="preserve">最美的姿態說再見 : 病人自主權利法的內涵與實踐 / </v>
      </c>
      <c r="C14" t="str">
        <f>("孫效智著 ")</f>
        <v xml:space="preserve">孫效智著 </v>
      </c>
      <c r="D14" t="str">
        <f>("天下雜誌, ")</f>
        <v xml:space="preserve">天下雜誌, </v>
      </c>
      <c r="E14" t="str">
        <f>("412.21 8366 2018")</f>
        <v>412.21 8366 2018</v>
      </c>
      <c r="F14" t="str">
        <f>("2019/05/13 00:00:00")</f>
        <v>2019/05/13 00:00:00</v>
      </c>
      <c r="G14" t="str">
        <f>("2018")</f>
        <v>2018</v>
      </c>
      <c r="H14" t="str">
        <f>("大林慈院醫倫、醫法區")</f>
        <v>大林慈院醫倫、醫法區</v>
      </c>
      <c r="I14" t="str">
        <f>("學習資源組")</f>
        <v>學習資源組</v>
      </c>
    </row>
    <row r="15" spans="1:9">
      <c r="A15" t="str">
        <f>("D0003584")</f>
        <v>D0003584</v>
      </c>
      <c r="B15" t="str">
        <f>("醫療衛生法規 =The fundamental of medical and health regulation /")</f>
        <v>醫療衛生法規 =The fundamental of medical and health regulation /</v>
      </c>
      <c r="C15" t="str">
        <f>("曾淑芬(衛生學)")</f>
        <v>曾淑芬(衛生學)</v>
      </c>
      <c r="D15" t="str">
        <f>("匯華,")</f>
        <v>匯華,</v>
      </c>
      <c r="E15" t="str">
        <f>("412.21 8367 1999")</f>
        <v>412.21 8367 1999</v>
      </c>
      <c r="F15" t="str">
        <f>("2013/10/01 00:00:00")</f>
        <v>2013/10/01 00:00:00</v>
      </c>
      <c r="G15" t="str">
        <f>("1999")</f>
        <v>1999</v>
      </c>
      <c r="H15" t="str">
        <f>("大林慈院醫倫、醫法區")</f>
        <v>大林慈院醫倫、醫法區</v>
      </c>
    </row>
    <row r="16" spans="1:9">
      <c r="A16" t="str">
        <f>("D0003910")</f>
        <v>D0003910</v>
      </c>
      <c r="B16" t="str">
        <f>("護理業務與法律實務")</f>
        <v>護理業務與法律實務</v>
      </c>
      <c r="C16" t="str">
        <f>("")</f>
        <v/>
      </c>
      <c r="D16" t="str">
        <f>("中華民國醫事法律學會")</f>
        <v>中華民國醫事法律學會</v>
      </c>
      <c r="E16" t="str">
        <f>("412.21 8426 1999")</f>
        <v>412.21 8426 1999</v>
      </c>
      <c r="F16" t="str">
        <f>("2013/10/01 00:00:00")</f>
        <v>2013/10/01 00:00:00</v>
      </c>
      <c r="G16" t="str">
        <f>("1999")</f>
        <v>1999</v>
      </c>
      <c r="H16" t="str">
        <f>("大林慈院醫倫、醫法區")</f>
        <v>大林慈院醫倫、醫法區</v>
      </c>
      <c r="I16" t="str">
        <f>("護理部")</f>
        <v>護理部</v>
      </c>
    </row>
    <row r="17" spans="1:9">
      <c r="A17" t="str">
        <f>("D0015707")</f>
        <v>D0015707</v>
      </c>
      <c r="B17" t="str">
        <f>("性別,醫療與法律 :案例導向討論 /")</f>
        <v>性別,醫療與法律 :案例導向討論 /</v>
      </c>
      <c r="C17" t="str">
        <f>("王志嘉 ")</f>
        <v xml:space="preserve">王志嘉 </v>
      </c>
      <c r="D17" t="str">
        <f>("元照,")</f>
        <v>元照,</v>
      </c>
      <c r="E17" t="str">
        <f>("412.21 8434 2017")</f>
        <v>412.21 8434 2017</v>
      </c>
      <c r="F17" t="str">
        <f>("2017/06/09 00:00:00")</f>
        <v>2017/06/09 00:00:00</v>
      </c>
      <c r="G17" t="str">
        <f>("2017")</f>
        <v>2017</v>
      </c>
      <c r="H17" t="str">
        <f>("大林慈院醫倫、醫法區")</f>
        <v>大林慈院醫倫、醫法區</v>
      </c>
      <c r="I17" t="str">
        <f>("學習資源組")</f>
        <v>學習資源組</v>
      </c>
    </row>
    <row r="18" spans="1:9">
      <c r="A18" t="str">
        <f>("D0010669")</f>
        <v>D0010669</v>
      </c>
      <c r="B18" t="str">
        <f>("醫療衛生制度與法規 /")</f>
        <v>醫療衛生制度與法規 /</v>
      </c>
      <c r="C18" t="str">
        <f>("許君強 ")</f>
        <v xml:space="preserve">許君強 </v>
      </c>
      <c r="D18" t="str">
        <f>("巨流出版,")</f>
        <v>巨流出版,</v>
      </c>
      <c r="E18" t="str">
        <f>("412.21 8443 2007")</f>
        <v>412.21 8443 2007</v>
      </c>
      <c r="F18" t="str">
        <f>("2013/10/01 00:00:00")</f>
        <v>2013/10/01 00:00:00</v>
      </c>
      <c r="G18" t="str">
        <f>("2007")</f>
        <v>2007</v>
      </c>
      <c r="H18" t="str">
        <f>("大林慈院醫倫、醫法區")</f>
        <v>大林慈院醫倫、醫法區</v>
      </c>
      <c r="I18" t="str">
        <f>("學習資源組")</f>
        <v>學習資源組</v>
      </c>
    </row>
    <row r="19" spans="1:9">
      <c r="A19" t="str">
        <f>("D0004703")</f>
        <v>D0004703</v>
      </c>
      <c r="B19" t="str">
        <f>("醫護法規概論 =General interpretations on fundamental legalproblems which physicians and nurses sholud learn /")</f>
        <v>醫護法規概論 =General interpretations on fundamental legalproblems which physicians and nurses sholud learn /</v>
      </c>
      <c r="C19" t="str">
        <f>("李聖隆 ")</f>
        <v xml:space="preserve">李聖隆 </v>
      </c>
      <c r="D19" t="str">
        <f>("華杏,")</f>
        <v>華杏,</v>
      </c>
      <c r="E19" t="str">
        <f>("412.21 8444 1996")</f>
        <v>412.21 8444 1996</v>
      </c>
      <c r="F19" t="str">
        <f>("2013/10/01 00:00:00")</f>
        <v>2013/10/01 00:00:00</v>
      </c>
      <c r="G19" t="str">
        <f>("1996")</f>
        <v>1996</v>
      </c>
      <c r="H19" t="str">
        <f>("大林慈院醫倫、醫法區")</f>
        <v>大林慈院醫倫、醫法區</v>
      </c>
    </row>
    <row r="20" spans="1:9">
      <c r="A20" t="str">
        <f>("D0006314")</f>
        <v>D0006314</v>
      </c>
      <c r="B20" t="str">
        <f>("醫護法規概論 =General interpretations on fundamental legalproblems which physicians and nurses sholud learn /")</f>
        <v>醫護法規概論 =General interpretations on fundamental legalproblems which physicians and nurses sholud learn /</v>
      </c>
      <c r="C20" t="str">
        <f>("李聖隆 ")</f>
        <v xml:space="preserve">李聖隆 </v>
      </c>
      <c r="D20" t="str">
        <f>("華杏,")</f>
        <v>華杏,</v>
      </c>
      <c r="E20" t="str">
        <f>("412.21 8444 1996 c.2")</f>
        <v>412.21 8444 1996 c.2</v>
      </c>
      <c r="F20" t="str">
        <f>("2013/10/01 00:00:00")</f>
        <v>2013/10/01 00:00:00</v>
      </c>
      <c r="G20" t="str">
        <f>("1996")</f>
        <v>1996</v>
      </c>
      <c r="H20" t="str">
        <f>("大林慈院醫倫、醫法區")</f>
        <v>大林慈院醫倫、醫法區</v>
      </c>
    </row>
    <row r="21" spans="1:9">
      <c r="A21" t="str">
        <f>("D0001174")</f>
        <v>D0001174</v>
      </c>
      <c r="B21" t="str">
        <f>("醫護法規概論 /")</f>
        <v>醫護法規概論 /</v>
      </c>
      <c r="C21" t="str">
        <f>("李聖隆 ")</f>
        <v xml:space="preserve">李聖隆 </v>
      </c>
      <c r="D21" t="str">
        <f>("華杏,")</f>
        <v>華杏,</v>
      </c>
      <c r="E21" t="str">
        <f>("412.21 8444 2001")</f>
        <v>412.21 8444 2001</v>
      </c>
      <c r="F21" t="str">
        <f>("2013/10/01 00:00:00")</f>
        <v>2013/10/01 00:00:00</v>
      </c>
      <c r="G21" t="str">
        <f>("2001")</f>
        <v>2001</v>
      </c>
      <c r="H21" t="str">
        <f>("大林慈院醫倫、醫法區")</f>
        <v>大林慈院醫倫、醫法區</v>
      </c>
      <c r="I21" t="str">
        <f>("專案經費")</f>
        <v>專案經費</v>
      </c>
    </row>
    <row r="22" spans="1:9">
      <c r="A22" t="str">
        <f>("D0011281")</f>
        <v>D0011281</v>
      </c>
      <c r="B22" t="str">
        <f>("醫護法規概論 /")</f>
        <v>醫護法規概論 /</v>
      </c>
      <c r="C22" t="str">
        <f>("李聖隆 ")</f>
        <v xml:space="preserve">李聖隆 </v>
      </c>
      <c r="D22" t="str">
        <f>("華杏,")</f>
        <v>華杏,</v>
      </c>
      <c r="E22" t="str">
        <f>("412.21 8444 2001 c.2")</f>
        <v>412.21 8444 2001 c.2</v>
      </c>
      <c r="F22" t="str">
        <f>("2013/10/01 00:00:00")</f>
        <v>2013/10/01 00:00:00</v>
      </c>
      <c r="G22" t="str">
        <f>("2001")</f>
        <v>2001</v>
      </c>
      <c r="H22" t="str">
        <f>("大林慈院醫倫、醫法區")</f>
        <v>大林慈院醫倫、醫法區</v>
      </c>
      <c r="I22" t="str">
        <f>("專案經費")</f>
        <v>專案經費</v>
      </c>
    </row>
    <row r="23" spans="1:9">
      <c r="A23" t="str">
        <f>("D0015755")</f>
        <v>D0015755</v>
      </c>
      <c r="B23" t="str">
        <f>("醫病關係與法律風險管理防範 /")</f>
        <v>醫病關係與法律風險管理防範 /</v>
      </c>
      <c r="C23" t="str">
        <f>("施,茂林 ")</f>
        <v xml:space="preserve">施,茂林 </v>
      </c>
      <c r="D23" t="str">
        <f>("五南,")</f>
        <v>五南,</v>
      </c>
      <c r="E23" t="str">
        <f>("412.21 8447 2015")</f>
        <v>412.21 8447 2015</v>
      </c>
      <c r="F23" t="str">
        <f>("2017/09/28 00:00:00")</f>
        <v>2017/09/28 00:00:00</v>
      </c>
      <c r="G23" t="str">
        <f>("2015")</f>
        <v>2015</v>
      </c>
      <c r="H23" t="str">
        <f>("大林慈院醫倫、醫法區")</f>
        <v>大林慈院醫倫、醫法區</v>
      </c>
      <c r="I23" t="str">
        <f>("學習資源組")</f>
        <v>學習資源組</v>
      </c>
    </row>
    <row r="24" spans="1:9">
      <c r="A24" t="str">
        <f>("D0001102")</f>
        <v>D0001102</v>
      </c>
      <c r="B24" t="str">
        <f>("醫藥健保法規 /")</f>
        <v>醫藥健保法規 /</v>
      </c>
      <c r="C24" t="str">
        <f>("")</f>
        <v/>
      </c>
      <c r="D24" t="str">
        <f>("五南,")</f>
        <v>五南,</v>
      </c>
      <c r="E24" t="str">
        <f>("412.21 8452 2009")</f>
        <v>412.21 8452 2009</v>
      </c>
      <c r="F24" t="str">
        <f>("2013/10/01 00:00:00")</f>
        <v>2013/10/01 00:00:00</v>
      </c>
      <c r="G24" t="str">
        <f>("2009")</f>
        <v>2009</v>
      </c>
      <c r="H24" t="str">
        <f>("大林慈院醫倫、醫法區")</f>
        <v>大林慈院醫倫、醫法區</v>
      </c>
      <c r="I24" t="str">
        <f>("專案經費")</f>
        <v>專案經費</v>
      </c>
    </row>
    <row r="25" spans="1:9">
      <c r="A25" t="str">
        <f>("D0016595")</f>
        <v>D0016595</v>
      </c>
      <c r="B25" t="str">
        <f>("醫藥健保法規 / ")</f>
        <v xml:space="preserve">醫藥健保法規 / </v>
      </c>
      <c r="C25" t="str">
        <f>("五南法學研究中心編輯")</f>
        <v>五南法學研究中心編輯</v>
      </c>
      <c r="D25" t="str">
        <f>("五南, ")</f>
        <v xml:space="preserve">五南, </v>
      </c>
      <c r="E25" t="str">
        <f>("412.21 8452 2020")</f>
        <v>412.21 8452 2020</v>
      </c>
      <c r="F25" t="str">
        <f>("2020/10/29 00:00:00")</f>
        <v>2020/10/29 00:00:00</v>
      </c>
      <c r="G25" t="str">
        <f>("2020")</f>
        <v>2020</v>
      </c>
      <c r="H25" t="str">
        <f>("大林慈院醫倫、醫法區")</f>
        <v>大林慈院醫倫、醫法區</v>
      </c>
      <c r="I25" t="str">
        <f>("學習資源組")</f>
        <v>學習資源組</v>
      </c>
    </row>
    <row r="26" spans="1:9">
      <c r="A26" t="str">
        <f>("D0010390")</f>
        <v>D0010390</v>
      </c>
      <c r="B26" t="str">
        <f>("法律與藥學 /")</f>
        <v>法律與藥學 /</v>
      </c>
      <c r="C26" t="str">
        <f>("蔡墩銘 ")</f>
        <v xml:space="preserve">蔡墩銘 </v>
      </c>
      <c r="D26" t="str">
        <f>("蔡墩銘出版,")</f>
        <v>蔡墩銘出版,</v>
      </c>
      <c r="E26" t="str">
        <f>("412.21 8476 2006")</f>
        <v>412.21 8476 2006</v>
      </c>
      <c r="F26" t="str">
        <f>("2013/10/01 00:00:00")</f>
        <v>2013/10/01 00:00:00</v>
      </c>
      <c r="G26" t="str">
        <f>("2006")</f>
        <v>2006</v>
      </c>
      <c r="H26" t="str">
        <f>("大林慈院醫倫、醫法區")</f>
        <v>大林慈院醫倫、醫法區</v>
      </c>
      <c r="I26" t="str">
        <f>("學習資源組")</f>
        <v>學習資源組</v>
      </c>
    </row>
    <row r="27" spans="1:9">
      <c r="A27" t="str">
        <f>("D0003454")</f>
        <v>D0003454</v>
      </c>
      <c r="B27" t="str">
        <f>("醫療衛生法規彙編 /")</f>
        <v>醫療衛生法規彙編 /</v>
      </c>
      <c r="C27" t="str">
        <f>("李建良 ")</f>
        <v xml:space="preserve">李建良 </v>
      </c>
      <c r="D27" t="str">
        <f>("元照,")</f>
        <v>元照,</v>
      </c>
      <c r="E27" t="str">
        <f>("412.21 8476 2010")</f>
        <v>412.21 8476 2010</v>
      </c>
      <c r="F27" t="str">
        <f>("2013/10/01 00:00:00")</f>
        <v>2013/10/01 00:00:00</v>
      </c>
      <c r="G27" t="str">
        <f>("2010")</f>
        <v>2010</v>
      </c>
      <c r="H27" t="str">
        <f>("大林慈院醫倫、醫法區")</f>
        <v>大林慈院醫倫、醫法區</v>
      </c>
      <c r="I27" t="str">
        <f>("學習資源組")</f>
        <v>學習資源組</v>
      </c>
    </row>
    <row r="28" spans="1:9">
      <c r="A28" t="str">
        <f>("D0005194")</f>
        <v>D0005194</v>
      </c>
      <c r="B28" t="str">
        <f>("護理人員的法律專論")</f>
        <v>護理人員的法律專論</v>
      </c>
      <c r="C28" t="str">
        <f>("")</f>
        <v/>
      </c>
      <c r="D28" t="str">
        <f>("清流實業社經銷")</f>
        <v>清流實業社經銷</v>
      </c>
      <c r="E28" t="str">
        <f>("412.21 8478 1998")</f>
        <v>412.21 8478 1998</v>
      </c>
      <c r="F28" t="str">
        <f>("2013/10/01 00:00:00")</f>
        <v>2013/10/01 00:00:00</v>
      </c>
      <c r="G28" t="str">
        <f>("1998")</f>
        <v>1998</v>
      </c>
      <c r="H28" t="str">
        <f>("大林慈院醫倫、醫法區")</f>
        <v>大林慈院醫倫、醫法區</v>
      </c>
    </row>
    <row r="29" spans="1:9">
      <c r="A29" t="str">
        <f>("D0015689")</f>
        <v>D0015689</v>
      </c>
      <c r="B29" t="str">
        <f>("專科護理師 :護理人員法第24條問題與研究 /")</f>
        <v>專科護理師 :護理人員法第24條問題與研究 /</v>
      </c>
      <c r="C29" t="str">
        <f>("姚念慈 ")</f>
        <v xml:space="preserve">姚念慈 </v>
      </c>
      <c r="D29" t="str">
        <f>("元照,")</f>
        <v>元照,</v>
      </c>
      <c r="E29" t="str">
        <f>("412.21 8552 2015")</f>
        <v>412.21 8552 2015</v>
      </c>
      <c r="F29" t="str">
        <f>("2017/06/09 00:00:00")</f>
        <v>2017/06/09 00:00:00</v>
      </c>
      <c r="G29" t="str">
        <f>("2015")</f>
        <v>2015</v>
      </c>
      <c r="H29" t="str">
        <f>("大林慈院醫倫、醫法區")</f>
        <v>大林慈院醫倫、醫法區</v>
      </c>
      <c r="I29" t="str">
        <f>("學習資源組")</f>
        <v>學習資源組</v>
      </c>
    </row>
    <row r="30" spans="1:9">
      <c r="A30" t="str">
        <f>("D0000134")</f>
        <v>D0000134</v>
      </c>
      <c r="B30" t="str">
        <f>("護理與法律 =Nursing and law /")</f>
        <v>護理與法律 =Nursing and law /</v>
      </c>
      <c r="C30" t="str">
        <f>("盧美秀 ")</f>
        <v xml:space="preserve">盧美秀 </v>
      </c>
      <c r="D30" t="str">
        <f>("華杏,")</f>
        <v>華杏,</v>
      </c>
      <c r="E30" t="str">
        <f>("412.21 8566 1998")</f>
        <v>412.21 8566 1998</v>
      </c>
      <c r="F30" t="str">
        <f>("2013/10/01 00:00:00")</f>
        <v>2013/10/01 00:00:00</v>
      </c>
      <c r="G30" t="str">
        <f>("1998")</f>
        <v>1998</v>
      </c>
      <c r="H30" t="str">
        <f>("大林慈院醫倫、醫法區")</f>
        <v>大林慈院醫倫、醫法區</v>
      </c>
      <c r="I30" t="str">
        <f>("護理部;健檢中心")</f>
        <v>護理部;健檢中心</v>
      </c>
    </row>
    <row r="31" spans="1:9">
      <c r="A31" t="str">
        <f>("D0006256")</f>
        <v>D0006256</v>
      </c>
      <c r="B31" t="str">
        <f>("護理與法律 =Nursing and law /")</f>
        <v>護理與法律 =Nursing and law /</v>
      </c>
      <c r="C31" t="str">
        <f>("盧美秀 ")</f>
        <v xml:space="preserve">盧美秀 </v>
      </c>
      <c r="D31" t="str">
        <f>("華杏,")</f>
        <v>華杏,</v>
      </c>
      <c r="E31" t="str">
        <f>("412.21 8566 1998 c.2")</f>
        <v>412.21 8566 1998 c.2</v>
      </c>
      <c r="F31" t="str">
        <f>("2013/10/01 00:00:00")</f>
        <v>2013/10/01 00:00:00</v>
      </c>
      <c r="G31" t="str">
        <f>("1998")</f>
        <v>1998</v>
      </c>
      <c r="H31" t="str">
        <f>("大林慈院醫倫、醫法區")</f>
        <v>大林慈院醫倫、醫法區</v>
      </c>
      <c r="I31" t="str">
        <f>("護理部;健檢中心")</f>
        <v>護理部;健檢中心</v>
      </c>
    </row>
    <row r="32" spans="1:9">
      <c r="A32" t="str">
        <f>("D0004909")</f>
        <v>D0004909</v>
      </c>
      <c r="B32" t="str">
        <f>("護理與法律新論 =New concepts nursing and law /")</f>
        <v>護理與法律新論 =New concepts nursing and law /</v>
      </c>
      <c r="C32" t="str">
        <f>("屈蓮 ")</f>
        <v xml:space="preserve">屈蓮 </v>
      </c>
      <c r="D32" t="str">
        <f>("新文京開發,")</f>
        <v>新文京開發,</v>
      </c>
      <c r="E32" t="str">
        <f>("412.21 858 2002")</f>
        <v>412.21 858 2002</v>
      </c>
      <c r="F32" t="str">
        <f>("2013/10/01 00:00:00")</f>
        <v>2013/10/01 00:00:00</v>
      </c>
      <c r="G32" t="str">
        <f>("2002")</f>
        <v>2002</v>
      </c>
      <c r="H32" t="str">
        <f>("大林慈院醫倫、醫法區")</f>
        <v>大林慈院醫倫、醫法區</v>
      </c>
      <c r="I32" t="str">
        <f>("護理部")</f>
        <v>護理部</v>
      </c>
    </row>
    <row r="33" spans="1:9">
      <c r="A33" t="str">
        <f>("D0012058")</f>
        <v>D0012058</v>
      </c>
      <c r="B33" t="str">
        <f>("護理與法律新論 =New concepts nursing and law /")</f>
        <v>護理與法律新論 =New concepts nursing and law /</v>
      </c>
      <c r="C33" t="str">
        <f>("屈蓮 ")</f>
        <v xml:space="preserve">屈蓮 </v>
      </c>
      <c r="D33" t="str">
        <f>("新文京開發,")</f>
        <v>新文京開發,</v>
      </c>
      <c r="E33" t="str">
        <f>("412.21 858 2002 c.2")</f>
        <v>412.21 858 2002 c.2</v>
      </c>
      <c r="F33" t="str">
        <f>("2013/10/01 00:00:00")</f>
        <v>2013/10/01 00:00:00</v>
      </c>
      <c r="G33" t="str">
        <f>("2002")</f>
        <v>2002</v>
      </c>
      <c r="H33" t="str">
        <f>("大林慈院醫倫、醫法區")</f>
        <v>大林慈院醫倫、醫法區</v>
      </c>
      <c r="I33" t="str">
        <f>("護理部")</f>
        <v>護理部</v>
      </c>
    </row>
    <row r="34" spans="1:9">
      <c r="A34" t="str">
        <f>("D0015031")</f>
        <v>D0015031</v>
      </c>
      <c r="B34" t="str">
        <f>("醫護法律與倫理 =Health care and nursing : law and ethics/")</f>
        <v>醫護法律與倫理 =Health care and nursing : law and ethics/</v>
      </c>
      <c r="C34" t="str">
        <f>("屈蓮 ")</f>
        <v xml:space="preserve">屈蓮 </v>
      </c>
      <c r="D34" t="str">
        <f>("新文京開發,")</f>
        <v>新文京開發,</v>
      </c>
      <c r="E34" t="str">
        <f>("412.21 858-2 2015")</f>
        <v>412.21 858-2 2015</v>
      </c>
      <c r="F34" t="str">
        <f>("2017/06/09 00:00:00")</f>
        <v>2017/06/09 00:00:00</v>
      </c>
      <c r="G34" t="str">
        <f>("2015")</f>
        <v>2015</v>
      </c>
      <c r="H34" t="str">
        <f>("大林慈院醫倫、醫法區")</f>
        <v>大林慈院醫倫、醫法區</v>
      </c>
      <c r="I34" t="str">
        <f>("學習資源組")</f>
        <v>學習資源組</v>
      </c>
    </row>
    <row r="35" spans="1:9">
      <c r="A35" t="str">
        <f>("D0008114")</f>
        <v>D0008114</v>
      </c>
      <c r="B35" t="str">
        <f>("臨床案例醫療法律 =Healthcare law clinical case study /")</f>
        <v>臨床案例醫療法律 =Healthcare law clinical case study /</v>
      </c>
      <c r="C35" t="str">
        <f>("楊哲銘(醫學) ")</f>
        <v xml:space="preserve">楊哲銘(醫學) </v>
      </c>
      <c r="D35" t="str">
        <f>("五南,")</f>
        <v>五南,</v>
      </c>
      <c r="E35" t="str">
        <f>("412.21 8646 2005")</f>
        <v>412.21 8646 2005</v>
      </c>
      <c r="F35" t="str">
        <f>("2013/10/01 00:00:00")</f>
        <v>2013/10/01 00:00:00</v>
      </c>
      <c r="G35" t="str">
        <f>("2005")</f>
        <v>2005</v>
      </c>
      <c r="H35" t="str">
        <f>("大林慈院醫倫、醫法區")</f>
        <v>大林慈院醫倫、醫法區</v>
      </c>
    </row>
    <row r="36" spans="1:9">
      <c r="A36" t="str">
        <f>("D0012205")</f>
        <v>D0012205</v>
      </c>
      <c r="B36" t="str">
        <f>("臨床案例醫療法律 =Healthcare law clinical case study /")</f>
        <v>臨床案例醫療法律 =Healthcare law clinical case study /</v>
      </c>
      <c r="C36" t="str">
        <f>("楊哲銘(醫學) ")</f>
        <v xml:space="preserve">楊哲銘(醫學) </v>
      </c>
      <c r="D36" t="str">
        <f>("五南,")</f>
        <v>五南,</v>
      </c>
      <c r="E36" t="str">
        <f>("412.21 8646 2005 c.2")</f>
        <v>412.21 8646 2005 c.2</v>
      </c>
      <c r="F36" t="str">
        <f>("2013/10/01 00:00:00")</f>
        <v>2013/10/01 00:00:00</v>
      </c>
      <c r="G36" t="str">
        <f>("2005")</f>
        <v>2005</v>
      </c>
      <c r="H36" t="str">
        <f>("大林慈院醫倫、醫法區")</f>
        <v>大林慈院醫倫、醫法區</v>
      </c>
    </row>
    <row r="37" spans="1:9">
      <c r="A37" t="str">
        <f>("D0013529")</f>
        <v>D0013529</v>
      </c>
      <c r="B37" t="str">
        <f>("醫護法規案例解析 /")</f>
        <v>醫護法規案例解析 /</v>
      </c>
      <c r="C37" t="str">
        <f>("邱慧洳 ")</f>
        <v xml:space="preserve">邱慧洳 </v>
      </c>
      <c r="D37" t="str">
        <f>("元照,")</f>
        <v>元照,</v>
      </c>
      <c r="E37" t="str">
        <f>("412.21 8733 2013")</f>
        <v>412.21 8733 2013</v>
      </c>
      <c r="F37" t="str">
        <f>("2014/10/21 00:00:00")</f>
        <v>2014/10/21 00:00:00</v>
      </c>
      <c r="G37" t="str">
        <f>("2013")</f>
        <v>2013</v>
      </c>
      <c r="H37" t="str">
        <f>("大林慈院醫倫、醫法區")</f>
        <v>大林慈院醫倫、醫法區</v>
      </c>
      <c r="I37" t="str">
        <f>("學習資源組 ")</f>
        <v xml:space="preserve">學習資源組 </v>
      </c>
    </row>
    <row r="38" spans="1:9">
      <c r="A38" t="str">
        <f>("D0015644")</f>
        <v>D0015644</v>
      </c>
      <c r="B38" t="str">
        <f>("驗光人員法規與倫理 / ")</f>
        <v xml:space="preserve">驗光人員法規與倫理 / </v>
      </c>
      <c r="C38" t="str">
        <f>("陳惠伶 ")</f>
        <v xml:space="preserve">陳惠伶 </v>
      </c>
      <c r="D38" t="str">
        <f>("新文京, ")</f>
        <v xml:space="preserve">新文京, </v>
      </c>
      <c r="E38" t="str">
        <f>("412.21 8735 2017")</f>
        <v>412.21 8735 2017</v>
      </c>
      <c r="F38" t="str">
        <f>("2017/06/09 00:00:00")</f>
        <v>2017/06/09 00:00:00</v>
      </c>
      <c r="G38" t="str">
        <f>("2017")</f>
        <v>2017</v>
      </c>
      <c r="H38" t="str">
        <f>("大林慈院醫倫、醫法區")</f>
        <v>大林慈院醫倫、醫法區</v>
      </c>
      <c r="I38" t="str">
        <f>("學習資源組")</f>
        <v>學習資源組</v>
      </c>
    </row>
    <row r="39" spans="1:9">
      <c r="A39" t="str">
        <f>("D0010770")</f>
        <v>D0010770</v>
      </c>
      <c r="B39" t="str">
        <f>("醫療法律入門 :案例導向討論 /")</f>
        <v>醫療法律入門 :案例導向討論 /</v>
      </c>
      <c r="C39" t="str">
        <f>("")</f>
        <v/>
      </c>
      <c r="D39" t="str">
        <f>("財團法人醫院評鑑暨醫療品質策進會,")</f>
        <v>財團法人醫院評鑑暨醫療品質策進會,</v>
      </c>
      <c r="E39" t="str">
        <f>("412.21 8736 2008 c.2")</f>
        <v>412.21 8736 2008 c.2</v>
      </c>
      <c r="F39" t="str">
        <f>("2013/10/01 00:00:00")</f>
        <v>2013/10/01 00:00:00</v>
      </c>
      <c r="G39" t="str">
        <f>("2008")</f>
        <v>2008</v>
      </c>
      <c r="H39" t="str">
        <f>("大林慈院醫倫、醫法區")</f>
        <v>大林慈院醫倫、醫法區</v>
      </c>
    </row>
    <row r="40" spans="1:9">
      <c r="A40" t="str">
        <f>("D0016776")</f>
        <v>D0016776</v>
      </c>
      <c r="B40" t="str">
        <f>("智慧醫療與法律 /")</f>
        <v>智慧醫療與法律 /</v>
      </c>
      <c r="C40" t="str">
        <f>("陳鋕雄主編")</f>
        <v>陳鋕雄主編</v>
      </c>
      <c r="D40" t="str">
        <f>("翰蘆圖書 ,")</f>
        <v>翰蘆圖書 ,</v>
      </c>
      <c r="E40" t="str">
        <f>("412.21 8754 2021")</f>
        <v>412.21 8754 2021</v>
      </c>
      <c r="F40" t="str">
        <f>("2021/06/18 00:00:00")</f>
        <v>2021/06/18 00:00:00</v>
      </c>
      <c r="G40" t="str">
        <f>("2021")</f>
        <v>2021</v>
      </c>
      <c r="H40" t="str">
        <f>("大林慈院醫倫、醫法區")</f>
        <v>大林慈院醫倫、醫法區</v>
      </c>
      <c r="I40" t="str">
        <f>("學習資源組")</f>
        <v>學習資源組</v>
      </c>
    </row>
    <row r="41" spans="1:9">
      <c r="A41" t="str">
        <f>("D0008489")</f>
        <v>D0008489</v>
      </c>
      <c r="B41" t="str">
        <f>("中醫醫療管理法規彙編 =Law and regulations on management ofChinese medicine /")</f>
        <v>中醫醫療管理法規彙編 =Law and regulations on management ofChinese medicine /</v>
      </c>
      <c r="C41" t="str">
        <f>("林宜信(中醫學) ")</f>
        <v xml:space="preserve">林宜信(中醫學) </v>
      </c>
      <c r="D41" t="str">
        <f>("行政院衛生署中醫藥委員會,")</f>
        <v>行政院衛生署中醫藥委員會,</v>
      </c>
      <c r="E41" t="str">
        <f>("412.21 8765 2002")</f>
        <v>412.21 8765 2002</v>
      </c>
      <c r="F41" t="str">
        <f>("2013/10/01 00:00:00")</f>
        <v>2013/10/01 00:00:00</v>
      </c>
      <c r="G41" t="str">
        <f>("2002")</f>
        <v>2002</v>
      </c>
      <c r="H41" t="str">
        <f>("大林慈院醫倫、醫法區")</f>
        <v>大林慈院醫倫、醫法區</v>
      </c>
    </row>
    <row r="42" spans="1:9">
      <c r="A42" t="str">
        <f>("D0013245")</f>
        <v>D0013245</v>
      </c>
      <c r="B42" t="str">
        <f>("醫療法律與醫學倫理 / ")</f>
        <v xml:space="preserve">醫療法律與醫學倫理 / </v>
      </c>
      <c r="C42" t="str">
        <f>("何建志")</f>
        <v>何建志</v>
      </c>
      <c r="D42" t="str">
        <f>("元照, ")</f>
        <v xml:space="preserve">元照, </v>
      </c>
      <c r="E42" t="str">
        <f>("412.21 8773 2013")</f>
        <v>412.21 8773 2013</v>
      </c>
      <c r="F42" t="str">
        <f>("2013/12/17 00:00:00")</f>
        <v>2013/12/17 00:00:00</v>
      </c>
      <c r="G42" t="str">
        <f>("2013")</f>
        <v>2013</v>
      </c>
      <c r="H42" t="str">
        <f>("大林慈院醫倫、醫法區")</f>
        <v>大林慈院醫倫、醫法區</v>
      </c>
      <c r="I42" t="str">
        <f>("學習資源組")</f>
        <v>學習資源組</v>
      </c>
    </row>
    <row r="43" spans="1:9">
      <c r="A43" t="str">
        <f>("D0015688")</f>
        <v>D0015688</v>
      </c>
      <c r="B43" t="str">
        <f>("醫療法律與醫學倫理 /")</f>
        <v>醫療法律與醫學倫理 /</v>
      </c>
      <c r="C43" t="str">
        <f>("何建志著 ")</f>
        <v xml:space="preserve">何建志著 </v>
      </c>
      <c r="D43" t="str">
        <f>("元照,")</f>
        <v>元照,</v>
      </c>
      <c r="E43" t="str">
        <f>("412.21 8773 2016")</f>
        <v>412.21 8773 2016</v>
      </c>
      <c r="F43" t="str">
        <f>("2017/06/09 00:00:00")</f>
        <v>2017/06/09 00:00:00</v>
      </c>
      <c r="G43" t="str">
        <f>("2016")</f>
        <v>2016</v>
      </c>
      <c r="H43" t="str">
        <f>("大林慈院醫倫、醫法區")</f>
        <v>大林慈院醫倫、醫法區</v>
      </c>
      <c r="I43" t="str">
        <f>("學習資源組")</f>
        <v>學習資源組</v>
      </c>
    </row>
    <row r="44" spans="1:9">
      <c r="A44" t="str">
        <f>("D0016483")</f>
        <v>D0016483</v>
      </c>
      <c r="B44" t="str">
        <f>("醫護健保與長照法規 / ")</f>
        <v xml:space="preserve">醫護健保與長照法規 / </v>
      </c>
      <c r="C44" t="str">
        <f>("吳秀玲著")</f>
        <v>吳秀玲著</v>
      </c>
      <c r="D44" t="str">
        <f>("三民書局, ")</f>
        <v xml:space="preserve">三民書局, </v>
      </c>
      <c r="E44" t="str">
        <f>("412.21 8863-2 2019")</f>
        <v>412.21 8863-2 2019</v>
      </c>
      <c r="F44" t="str">
        <f>("2020/04/14 00:00:00")</f>
        <v>2020/04/14 00:00:00</v>
      </c>
      <c r="G44" t="str">
        <f>("2019")</f>
        <v>2019</v>
      </c>
      <c r="H44" t="str">
        <f>("大林慈院醫倫、醫法區")</f>
        <v>大林慈院醫倫、醫法區</v>
      </c>
      <c r="I44" t="str">
        <f>("學習資源組")</f>
        <v>學習資源組</v>
      </c>
    </row>
    <row r="45" spans="1:9">
      <c r="A45" t="str">
        <f>("D0012952")</f>
        <v>D0012952</v>
      </c>
      <c r="B45" t="str">
        <f>("台灣醫事法律案例集 /")</f>
        <v>台灣醫事法律案例集 /</v>
      </c>
      <c r="C45" t="str">
        <f>("吳建樑編著")</f>
        <v>吳建樑編著</v>
      </c>
      <c r="D45" t="str">
        <f>("[吳建樑],")</f>
        <v>[吳建樑],</v>
      </c>
      <c r="E45" t="str">
        <f>("412.21 8877 2007")</f>
        <v>412.21 8877 2007</v>
      </c>
      <c r="F45" t="str">
        <f>("2013/10/01 00:00:00")</f>
        <v>2013/10/01 00:00:00</v>
      </c>
      <c r="G45" t="str">
        <f>("2007")</f>
        <v>2007</v>
      </c>
      <c r="H45" t="str">
        <f>("大林慈院醫倫、醫法區")</f>
        <v>大林慈院醫倫、醫法區</v>
      </c>
    </row>
    <row r="46" spans="1:9">
      <c r="A46" t="str">
        <f>("D0013988")</f>
        <v>D0013988</v>
      </c>
      <c r="B46" t="str">
        <f>("醫事護理法規概論 = Introduction of the law and regulation on medical affairs and nursing / ")</f>
        <v xml:space="preserve">醫事護理法規概論 = Introduction of the law and regulation on medical affairs and nursing / </v>
      </c>
      <c r="C46" t="str">
        <f>("吳秀玲編著 ")</f>
        <v xml:space="preserve">吳秀玲編著 </v>
      </c>
      <c r="D46" t="str">
        <f>("三民書局, ")</f>
        <v xml:space="preserve">三民書局, </v>
      </c>
      <c r="E46" t="str">
        <f>("412.21 8883 2013")</f>
        <v>412.21 8883 2013</v>
      </c>
      <c r="F46" t="str">
        <f>("2015/01/26 00:00:00")</f>
        <v>2015/01/26 00:00:00</v>
      </c>
      <c r="G46" t="str">
        <f>("2013")</f>
        <v>2013</v>
      </c>
      <c r="H46" t="str">
        <f>("大林慈院醫倫、醫法區")</f>
        <v>大林慈院醫倫、醫法區</v>
      </c>
      <c r="I46" t="str">
        <f>("學習資源組")</f>
        <v>學習資源組</v>
      </c>
    </row>
    <row r="47" spans="1:9">
      <c r="A47" t="str">
        <f>("D0013868")</f>
        <v>D0013868</v>
      </c>
      <c r="B47" t="str">
        <f>("醫療糾紛處理與鑑定 / ")</f>
        <v xml:space="preserve">醫療糾紛處理與鑑定 / </v>
      </c>
      <c r="C47" t="str">
        <f>("林義龍")</f>
        <v>林義龍</v>
      </c>
      <c r="D47" t="str">
        <f>("元照, ")</f>
        <v xml:space="preserve">元照, </v>
      </c>
      <c r="E47" t="str">
        <f>("419.44 8723 2014")</f>
        <v>419.44 8723 2014</v>
      </c>
      <c r="F47" t="str">
        <f>("2015/01/26 00:00:00")</f>
        <v>2015/01/26 00:00:00</v>
      </c>
      <c r="G47" t="str">
        <f>("2014")</f>
        <v>2014</v>
      </c>
      <c r="H47" t="str">
        <f>("大林慈院醫倫、醫法區")</f>
        <v>大林慈院醫倫、醫法區</v>
      </c>
      <c r="I47" t="str">
        <f>("學習資源組 ")</f>
        <v xml:space="preserve">學習資源組 </v>
      </c>
    </row>
    <row r="48" spans="1:9">
      <c r="A48" t="str">
        <f>("D0013188")</f>
        <v>D0013188</v>
      </c>
      <c r="B48" t="str">
        <f>("醫病互動全紀錄 : 漫畫選集 / ")</f>
        <v xml:space="preserve">醫病互動全紀錄 : 漫畫選集 / </v>
      </c>
      <c r="C48" t="str">
        <f>("")</f>
        <v/>
      </c>
      <c r="D48" t="str">
        <f>("臺北醫學大學, ")</f>
        <v xml:space="preserve">臺北醫學大學, </v>
      </c>
      <c r="E48" t="str">
        <f>("419.47 8464 2013")</f>
        <v>419.47 8464 2013</v>
      </c>
      <c r="F48" t="str">
        <f>("2013/10/01 00:00:00")</f>
        <v>2013/10/01 00:00:00</v>
      </c>
      <c r="G48" t="str">
        <f>("2013")</f>
        <v>2013</v>
      </c>
      <c r="H48" t="str">
        <f>("大林慈院醫倫、醫法區")</f>
        <v>大林慈院醫倫、醫法區</v>
      </c>
    </row>
    <row r="49" spans="1:9">
      <c r="A49" t="str">
        <f>("D0016561")</f>
        <v>D0016561</v>
      </c>
      <c r="B49" t="str">
        <f>("醫病關係Q＆A /")</f>
        <v>醫病關係Q＆A /</v>
      </c>
      <c r="C49" t="str">
        <f>("李兆環 作")</f>
        <v>李兆環 作</v>
      </c>
      <c r="D49" t="str">
        <f>("新學林,")</f>
        <v>新學林,</v>
      </c>
      <c r="E49" t="str">
        <f>("419.47022 8457 2020")</f>
        <v>419.47022 8457 2020</v>
      </c>
      <c r="F49" t="str">
        <f>("2020/10/29 00:00:00")</f>
        <v>2020/10/29 00:00:00</v>
      </c>
      <c r="G49" t="str">
        <f>("2020")</f>
        <v>2020</v>
      </c>
      <c r="H49" t="str">
        <f>("大林慈院醫倫、醫法區")</f>
        <v>大林慈院醫倫、醫法區</v>
      </c>
      <c r="I49" t="str">
        <f>("學習資源組")</f>
        <v>學習資源組</v>
      </c>
    </row>
    <row r="50" spans="1:9">
      <c r="A50" t="str">
        <f>("D0013596")</f>
        <v>D0013596</v>
      </c>
      <c r="B50" t="str">
        <f>("當醫療遇上衝突糾紛，訴訟是最好的解決方法？ : 一對醫師夫婦赴日學習促進醫療和諧之路 / ")</f>
        <v xml:space="preserve">當醫療遇上衝突糾紛，訴訟是最好的解決方法？ : 一對醫師夫婦赴日學習促進醫療和諧之路 / </v>
      </c>
      <c r="C50" t="str">
        <f>("李詩應")</f>
        <v>李詩應</v>
      </c>
      <c r="D50" t="str">
        <f>("原水文化出版 : ;家庭傳媒城邦分公司發行, ")</f>
        <v xml:space="preserve">原水文化出版 : ;家庭傳媒城邦分公司發行, </v>
      </c>
      <c r="E50" t="str">
        <f>("419.49 8422 2013")</f>
        <v>419.49 8422 2013</v>
      </c>
      <c r="F50" t="str">
        <f>("2014/10/21 00:00:00")</f>
        <v>2014/10/21 00:00:00</v>
      </c>
      <c r="G50" t="str">
        <f>("2013")</f>
        <v>2013</v>
      </c>
      <c r="H50" t="str">
        <f>("大林慈院醫倫、醫法區")</f>
        <v>大林慈院醫倫、醫法區</v>
      </c>
      <c r="I50" t="str">
        <f>("學習資源組")</f>
        <v>學習資源組</v>
      </c>
    </row>
    <row r="51" spans="1:9">
      <c r="A51" t="str">
        <f>("D0015004")</f>
        <v>D0015004</v>
      </c>
      <c r="B51" t="str">
        <f>("醫療紛爭 : 在臨床醫學與法律實務的探討 / ")</f>
        <v xml:space="preserve">醫療紛爭 : 在臨床醫學與法律實務的探討 / </v>
      </c>
      <c r="C51" t="str">
        <f>("李伯璋 ")</f>
        <v xml:space="preserve">李伯璋 </v>
      </c>
      <c r="D51" t="str">
        <f>("新學林, ")</f>
        <v xml:space="preserve">新學林, </v>
      </c>
      <c r="E51" t="str">
        <f>("419.49 8465 2017")</f>
        <v>419.49 8465 2017</v>
      </c>
      <c r="F51" t="str">
        <f>("2013/10/01 00:00:00")</f>
        <v>2013/10/01 00:00:00</v>
      </c>
      <c r="G51" t="str">
        <f>("2017")</f>
        <v>2017</v>
      </c>
      <c r="H51" t="str">
        <f>("大林慈院醫倫、醫法區")</f>
        <v>大林慈院醫倫、醫法區</v>
      </c>
    </row>
    <row r="52" spans="1:9">
      <c r="A52" t="str">
        <f>("D0005504")</f>
        <v>D0005504</v>
      </c>
      <c r="B52" t="str">
        <f>("醫療糾紛裁判選集 :刑事篇 /")</f>
        <v>醫療糾紛裁判選集 :刑事篇 /</v>
      </c>
      <c r="C52" t="str">
        <f>("蔡墩銘 ")</f>
        <v xml:space="preserve">蔡墩銘 </v>
      </c>
      <c r="D52" t="str">
        <f>("景泰,")</f>
        <v>景泰,</v>
      </c>
      <c r="E52" t="str">
        <f>("419.49 8476 1994")</f>
        <v>419.49 8476 1994</v>
      </c>
      <c r="F52" t="str">
        <f>("2013/10/01 00:00:00")</f>
        <v>2013/10/01 00:00:00</v>
      </c>
      <c r="G52" t="str">
        <f>("1994")</f>
        <v>1994</v>
      </c>
      <c r="H52" t="str">
        <f>("大林慈院醫倫、醫法區")</f>
        <v>大林慈院醫倫、醫法區</v>
      </c>
    </row>
    <row r="53" spans="1:9">
      <c r="A53" t="str">
        <f>("D0013867")</f>
        <v>D0013867</v>
      </c>
      <c r="B53" t="str">
        <f>("99%醫療糾紛都是可以避免的 / ")</f>
        <v xml:space="preserve">99%醫療糾紛都是可以避免的 / </v>
      </c>
      <c r="C53" t="str">
        <f>("蔡秀男")</f>
        <v>蔡秀男</v>
      </c>
      <c r="D53" t="str">
        <f>("貓頭鷹, ")</f>
        <v xml:space="preserve">貓頭鷹, </v>
      </c>
      <c r="E53" t="str">
        <f>("419.49 8487 2014")</f>
        <v>419.49 8487 2014</v>
      </c>
      <c r="F53" t="str">
        <f>("2015/01/26 00:00:00")</f>
        <v>2015/01/26 00:00:00</v>
      </c>
      <c r="G53" t="str">
        <f>("2014")</f>
        <v>2014</v>
      </c>
      <c r="H53" t="str">
        <f>("大林慈院醫倫、醫法區")</f>
        <v>大林慈院醫倫、醫法區</v>
      </c>
      <c r="I53" t="str">
        <f>("學習資源組")</f>
        <v>學習資源組</v>
      </c>
    </row>
    <row r="54" spans="1:9">
      <c r="A54" t="str">
        <f>("D0016085")</f>
        <v>D0016085</v>
      </c>
      <c r="B54" t="str">
        <f>("做對3件事,不怕醫療糾紛,改善醫病關係 /")</f>
        <v>做對3件事,不怕醫療糾紛,改善醫病關係 /</v>
      </c>
      <c r="C54" t="str">
        <f>("鄧政雄 ")</f>
        <v xml:space="preserve">鄧政雄 </v>
      </c>
      <c r="D54" t="str">
        <f>("商周,城邦文化出版 :;家庭傳媒城邦分公司發行 ,")</f>
        <v>商周,城邦文化出版 :;家庭傳媒城邦分公司發行 ,</v>
      </c>
      <c r="E54" t="str">
        <f>("419.49 8574 2018")</f>
        <v>419.49 8574 2018</v>
      </c>
      <c r="F54" t="str">
        <f>("2018/10/16 00:00:00")</f>
        <v>2018/10/16 00:00:00</v>
      </c>
      <c r="G54" t="str">
        <f>("2018")</f>
        <v>2018</v>
      </c>
      <c r="H54" t="str">
        <f>("大林慈院醫倫、醫法區")</f>
        <v>大林慈院醫倫、醫法區</v>
      </c>
      <c r="I54" t="str">
        <f>("學習資源組")</f>
        <v>學習資源組</v>
      </c>
    </row>
    <row r="55" spans="1:9">
      <c r="A55" t="str">
        <f>("D0004836")</f>
        <v>D0004836</v>
      </c>
      <c r="B55" t="str">
        <f>("醫療事故的風險管理 /")</f>
        <v>醫療事故的風險管理 /</v>
      </c>
      <c r="C55" t="str">
        <f>("詹廖明義 ")</f>
        <v xml:space="preserve">詹廖明義 </v>
      </c>
      <c r="D55" t="str">
        <f>("安立出版,")</f>
        <v>安立出版,</v>
      </c>
      <c r="E55" t="str">
        <f>("419.49 8655 2003")</f>
        <v>419.49 8655 2003</v>
      </c>
      <c r="F55" t="str">
        <f>("2013/10/01 00:00:00")</f>
        <v>2013/10/01 00:00:00</v>
      </c>
      <c r="G55" t="str">
        <f>("2003")</f>
        <v>2003</v>
      </c>
      <c r="H55" t="str">
        <f>("大林慈院醫倫、醫法區")</f>
        <v>大林慈院醫倫、醫法區</v>
      </c>
    </row>
    <row r="56" spans="1:9">
      <c r="A56" t="str">
        <f>("D0004440")</f>
        <v>D0004440</v>
      </c>
      <c r="B56" t="str">
        <f>("醫療疏失的真相 : 真心聆聽.建立醫院互信 / ")</f>
        <v xml:space="preserve">醫療疏失的真相 : 真心聆聽.建立醫院互信 / </v>
      </c>
      <c r="C56" t="str">
        <f>("詹廖明義編譯")</f>
        <v>詹廖明義編譯</v>
      </c>
      <c r="D56" t="str">
        <f>("紅螞蟻總經銷, ;安立出版 : ")</f>
        <v xml:space="preserve">紅螞蟻總經銷, ;安立出版 : </v>
      </c>
      <c r="E56" t="str">
        <f>("419.49 8655-2 2004")</f>
        <v>419.49 8655-2 2004</v>
      </c>
      <c r="F56" t="str">
        <f>("2013/10/01 00:00:00")</f>
        <v>2013/10/01 00:00:00</v>
      </c>
      <c r="G56" t="str">
        <f>("2004")</f>
        <v>2004</v>
      </c>
      <c r="H56" t="str">
        <f>("大林慈院醫倫、醫法區")</f>
        <v>大林慈院醫倫、醫法區</v>
      </c>
    </row>
    <row r="57" spans="1:9">
      <c r="A57" t="str">
        <f>("D0013869")</f>
        <v>D0013869</v>
      </c>
      <c r="B57" t="str">
        <f>("醫療侵權行為之構成要件分析 / ")</f>
        <v xml:space="preserve">醫療侵權行為之構成要件分析 / </v>
      </c>
      <c r="C57" t="str">
        <f>("陳聰富")</f>
        <v>陳聰富</v>
      </c>
      <c r="D57" t="str">
        <f>("元照, ")</f>
        <v xml:space="preserve">元照, </v>
      </c>
      <c r="E57" t="str">
        <f>("419.49 8733 2014")</f>
        <v>419.49 8733 2014</v>
      </c>
      <c r="F57" t="str">
        <f>("2015/01/26 00:00:00")</f>
        <v>2015/01/26 00:00:00</v>
      </c>
      <c r="G57" t="str">
        <f>("2014")</f>
        <v>2014</v>
      </c>
      <c r="H57" t="str">
        <f>("大林慈院醫倫、醫法區")</f>
        <v>大林慈院醫倫、醫法區</v>
      </c>
      <c r="I57" t="str">
        <f>("學習資源組 ")</f>
        <v xml:space="preserve">學習資源組 </v>
      </c>
    </row>
    <row r="58" spans="1:9">
      <c r="A58" t="str">
        <f>("D0015646")</f>
        <v>D0015646</v>
      </c>
      <c r="B58" t="str">
        <f>("醫療糾紛處理面面觀 / ")</f>
        <v xml:space="preserve">醫療糾紛處理面面觀 / </v>
      </c>
      <c r="C58" t="str">
        <f>("陳怡成 ")</f>
        <v xml:space="preserve">陳怡成 </v>
      </c>
      <c r="D58" t="str">
        <f>("元照, ")</f>
        <v xml:space="preserve">元照, </v>
      </c>
      <c r="E58" t="str">
        <f>("419.49 8733:2 2016")</f>
        <v>419.49 8733:2 2016</v>
      </c>
      <c r="F58" t="str">
        <f>("2017/06/09 00:00:00")</f>
        <v>2017/06/09 00:00:00</v>
      </c>
      <c r="G58" t="str">
        <f>("2016")</f>
        <v>2016</v>
      </c>
      <c r="H58" t="str">
        <f>("大林慈院醫倫、醫法區")</f>
        <v>大林慈院醫倫、醫法區</v>
      </c>
      <c r="I58" t="str">
        <f>("學習資源組")</f>
        <v>學習資源組</v>
      </c>
    </row>
    <row r="59" spans="1:9">
      <c r="A59" t="str">
        <f>("D0013571")</f>
        <v>D0013571</v>
      </c>
      <c r="B59" t="str">
        <f>("醫療促進溝通調解 : 由敘事著手的衝突管理 / ")</f>
        <v xml:space="preserve">醫療促進溝通調解 : 由敘事著手的衝突管理 / </v>
      </c>
      <c r="C59" t="str">
        <f>("和田仁孝著 ")</f>
        <v xml:space="preserve">和田仁孝著 </v>
      </c>
      <c r="D59" t="str">
        <f>("原水文化出版 : ;家庭傳媒城邦分公司發行, ")</f>
        <v xml:space="preserve">原水文化出版 : ;家庭傳媒城邦分公司發行, </v>
      </c>
      <c r="E59" t="str">
        <f>("419.49 8856 2013")</f>
        <v>419.49 8856 2013</v>
      </c>
      <c r="F59" t="str">
        <f>("2014/10/21 00:00:00")</f>
        <v>2014/10/21 00:00:00</v>
      </c>
      <c r="G59" t="str">
        <f>("2013")</f>
        <v>2013</v>
      </c>
      <c r="H59" t="str">
        <f>("大林慈院醫倫、醫法區")</f>
        <v>大林慈院醫倫、醫法區</v>
      </c>
      <c r="I59" t="str">
        <f>("學習資源組")</f>
        <v>學習資源組</v>
      </c>
    </row>
    <row r="60" spans="1:9">
      <c r="A60" t="str">
        <f>("D0016725")</f>
        <v>D0016725</v>
      </c>
      <c r="B60" t="str">
        <f>("護理專業倫理與實務(含法律) / ")</f>
        <v xml:space="preserve">護理專業倫理與實務(含法律) / </v>
      </c>
      <c r="C60" t="str">
        <f>("徐南麗等著")</f>
        <v>徐南麗等著</v>
      </c>
      <c r="D60" t="str">
        <f>("新文京開發, ")</f>
        <v xml:space="preserve">新文京開發, </v>
      </c>
      <c r="E60" t="str">
        <f>("419.61619 8555 2019")</f>
        <v>419.61619 8555 2019</v>
      </c>
      <c r="F60" t="str">
        <f>("2021/06/09 00:00:00")</f>
        <v>2021/06/09 00:00:00</v>
      </c>
      <c r="G60" t="str">
        <f>("2019")</f>
        <v>2019</v>
      </c>
      <c r="H60" t="str">
        <f>("大林慈院醫倫、醫法區")</f>
        <v>大林慈院醫倫、醫法區</v>
      </c>
      <c r="I60" t="str">
        <f>("護理部")</f>
        <v>護理部</v>
      </c>
    </row>
    <row r="61" spans="1:9">
      <c r="A61" t="str">
        <f>("D0009746")</f>
        <v>D0009746</v>
      </c>
      <c r="B61" t="str">
        <f>("護理倫理與法律 /")</f>
        <v>護理倫理與法律 /</v>
      </c>
      <c r="C61" t="str">
        <f>("盧美秀作")</f>
        <v>盧美秀作</v>
      </c>
      <c r="D61" t="str">
        <f>("華杏,")</f>
        <v>華杏,</v>
      </c>
      <c r="E61" t="str">
        <f>("419.61619 8566-2 2006")</f>
        <v>419.61619 8566-2 2006</v>
      </c>
      <c r="F61" t="str">
        <f>("2013/10/01 00:00:00")</f>
        <v>2013/10/01 00:00:00</v>
      </c>
      <c r="G61" t="str">
        <f>("2006")</f>
        <v>2006</v>
      </c>
      <c r="H61" t="str">
        <f>("大林慈院醫倫、醫法區")</f>
        <v>大林慈院醫倫、醫法區</v>
      </c>
    </row>
    <row r="62" spans="1:9">
      <c r="A62" t="str">
        <f>("D0009747")</f>
        <v>D0009747</v>
      </c>
      <c r="B62" t="str">
        <f>("護理倫理與法律 /")</f>
        <v>護理倫理與法律 /</v>
      </c>
      <c r="C62" t="str">
        <f>("盧美秀作")</f>
        <v>盧美秀作</v>
      </c>
      <c r="D62" t="str">
        <f>("華杏,")</f>
        <v>華杏,</v>
      </c>
      <c r="E62" t="str">
        <f>("419.61619 8566-2 2006 c.2")</f>
        <v>419.61619 8566-2 2006 c.2</v>
      </c>
      <c r="F62" t="str">
        <f>("2013/10/01 00:00:00")</f>
        <v>2013/10/01 00:00:00</v>
      </c>
      <c r="G62" t="str">
        <f>("2006")</f>
        <v>2006</v>
      </c>
      <c r="H62" t="str">
        <f>("大林慈院醫倫、醫法區")</f>
        <v>大林慈院醫倫、醫法區</v>
      </c>
    </row>
    <row r="63" spans="1:9">
      <c r="A63" t="str">
        <f>("D0009748")</f>
        <v>D0009748</v>
      </c>
      <c r="B63" t="str">
        <f>("護理倫理與法律 /")</f>
        <v>護理倫理與法律 /</v>
      </c>
      <c r="C63" t="str">
        <f>("盧美秀作")</f>
        <v>盧美秀作</v>
      </c>
      <c r="D63" t="str">
        <f>("華杏,")</f>
        <v>華杏,</v>
      </c>
      <c r="E63" t="str">
        <f>("419.61619 8566-2 2006 c.3")</f>
        <v>419.61619 8566-2 2006 c.3</v>
      </c>
      <c r="F63" t="str">
        <f>("2013/10/01 00:00:00")</f>
        <v>2013/10/01 00:00:00</v>
      </c>
      <c r="G63" t="str">
        <f>("2006")</f>
        <v>2006</v>
      </c>
      <c r="H63" t="str">
        <f>("大林慈院醫倫、醫法區")</f>
        <v>大林慈院醫倫、醫法區</v>
      </c>
    </row>
    <row r="64" spans="1:9">
      <c r="A64" t="str">
        <f>("D0015295")</f>
        <v>D0015295</v>
      </c>
      <c r="B64" t="str">
        <f>("護理倫理與法律 = Nursing ethics and law / ")</f>
        <v xml:space="preserve">護理倫理與法律 = Nursing ethics and law / </v>
      </c>
      <c r="C64" t="str">
        <f>("盧美秀作 ")</f>
        <v xml:space="preserve">盧美秀作 </v>
      </c>
      <c r="D64" t="str">
        <f>("華杏, ")</f>
        <v xml:space="preserve">華杏, </v>
      </c>
      <c r="E64" t="str">
        <f>("419.61619 8566-2 2015")</f>
        <v>419.61619 8566-2 2015</v>
      </c>
      <c r="F64" t="str">
        <f>("2017/06/09 00:00:00")</f>
        <v>2017/06/09 00:00:00</v>
      </c>
      <c r="G64" t="str">
        <f>("2015")</f>
        <v>2015</v>
      </c>
      <c r="H64" t="str">
        <f>("大林慈院醫倫、醫法區")</f>
        <v>大林慈院醫倫、醫法區</v>
      </c>
      <c r="I64" t="str">
        <f>("學習資源組")</f>
        <v>學習資源組</v>
      </c>
    </row>
    <row r="65" spans="1:9">
      <c r="A65" t="str">
        <f>("D0016720")</f>
        <v>D0016720</v>
      </c>
      <c r="B65" t="str">
        <f>("護理倫理與法律 / ")</f>
        <v xml:space="preserve">護理倫理與法律 / </v>
      </c>
      <c r="C65" t="str">
        <f>("盧美秀編著")</f>
        <v>盧美秀編著</v>
      </c>
      <c r="D65" t="str">
        <f>("華杏, ")</f>
        <v xml:space="preserve">華杏, </v>
      </c>
      <c r="E65" t="str">
        <f>("419.61619 8566-2 2018")</f>
        <v>419.61619 8566-2 2018</v>
      </c>
      <c r="F65" t="str">
        <f>("2021/06/18 00:00:00")</f>
        <v>2021/06/18 00:00:00</v>
      </c>
      <c r="G65" t="str">
        <f>("2018")</f>
        <v>2018</v>
      </c>
      <c r="H65" t="str">
        <f>("大林慈院醫倫、醫法區")</f>
        <v>大林慈院醫倫、醫法區</v>
      </c>
      <c r="I65" t="str">
        <f>("學習資源組")</f>
        <v>學習資源組</v>
      </c>
    </row>
    <row r="66" spans="1:9">
      <c r="A66" t="str">
        <f>("D0014907")</f>
        <v>D0014907</v>
      </c>
      <c r="B66" t="str">
        <f>("當爸媽過了65歲 : 你一定要知道的醫療 長照 財務 法律知識 / ")</f>
        <v xml:space="preserve">當爸媽過了65歲 : 你一定要知道的醫療 長照 財務 法律知識 / </v>
      </c>
      <c r="C66" t="str">
        <f>("康哲偉著")</f>
        <v>康哲偉著</v>
      </c>
      <c r="D66" t="str">
        <f>("先覺出版 : ;叩應經銷, ")</f>
        <v xml:space="preserve">先覺出版 : ;叩應經銷, </v>
      </c>
      <c r="E66" t="str">
        <f>("544.83 8647 2015")</f>
        <v>544.83 8647 2015</v>
      </c>
      <c r="F66" t="str">
        <f>("2016/11/02 00:00:00")</f>
        <v>2016/11/02 00:00:00</v>
      </c>
      <c r="G66" t="str">
        <f>("2015")</f>
        <v>2015</v>
      </c>
      <c r="H66" t="str">
        <f>("大林慈院醫倫、醫法區")</f>
        <v>大林慈院醫倫、醫法區</v>
      </c>
      <c r="I66" t="str">
        <f>("腫瘤中心")</f>
        <v>腫瘤中心</v>
      </c>
    </row>
    <row r="67" spans="1:9">
      <c r="A67" t="str">
        <f>("D0008242")</f>
        <v>D0008242</v>
      </c>
      <c r="B67" t="str">
        <f>("法律與醫學 / ")</f>
        <v xml:space="preserve">法律與醫學 / </v>
      </c>
      <c r="C67" t="str">
        <f>("張天鈞主編")</f>
        <v>張天鈞主編</v>
      </c>
      <c r="D67" t="str">
        <f>("金名圖書總經銷, ;台大醫學院出版 : ")</f>
        <v xml:space="preserve">金名圖書總經銷, ;台大醫學院出版 : </v>
      </c>
      <c r="E67" t="str">
        <f>("580.16 8776 2002")</f>
        <v>580.16 8776 2002</v>
      </c>
      <c r="F67" t="str">
        <f>("2013/10/01 00:00:00")</f>
        <v>2013/10/01 00:00:00</v>
      </c>
      <c r="G67" t="str">
        <f>("2002")</f>
        <v>2002</v>
      </c>
      <c r="H67" t="str">
        <f>("大林慈院醫倫、醫法區")</f>
        <v>大林慈院醫倫、醫法區</v>
      </c>
    </row>
    <row r="68" spans="1:9">
      <c r="A68" t="str">
        <f>("D0004226")</f>
        <v>D0004226</v>
      </c>
      <c r="B68" t="str">
        <f>("醫師如何面對醫療糾紛 /")</f>
        <v>醫師如何面對醫療糾紛 /</v>
      </c>
      <c r="C68" t="str">
        <f>("高添富 ")</f>
        <v xml:space="preserve">高添富 </v>
      </c>
      <c r="D68" t="str">
        <f>("中華民國婦產科醫學會,")</f>
        <v>中華民國婦產科醫學會,</v>
      </c>
      <c r="E68" t="str">
        <f>("585.79 8323 2002")</f>
        <v>585.79 8323 2002</v>
      </c>
      <c r="F68" t="str">
        <f>("2013/10/01 00:00:00")</f>
        <v>2013/10/01 00:00:00</v>
      </c>
      <c r="G68" t="str">
        <f>("2002")</f>
        <v>2002</v>
      </c>
      <c r="H68" t="str">
        <f>("大林慈院醫倫、醫法區")</f>
        <v>大林慈院醫倫、醫法區</v>
      </c>
      <c r="I68" t="str">
        <f>("公傳室")</f>
        <v>公傳室</v>
      </c>
    </row>
    <row r="69" spans="1:9">
      <c r="A69" t="str">
        <f>("D0008054")</f>
        <v>D0008054</v>
      </c>
      <c r="B69" t="str">
        <f>("醫療過失與因果關係 /")</f>
        <v>醫療過失與因果關係 /</v>
      </c>
      <c r="C69" t="str">
        <f>("曾淑瑜 ")</f>
        <v xml:space="preserve">曾淑瑜 </v>
      </c>
      <c r="D69" t="str">
        <f>("翰蘆圖書,")</f>
        <v>翰蘆圖書,</v>
      </c>
      <c r="E69" t="str">
        <f>("585.79 8365 1998 v.1")</f>
        <v>585.79 8365 1998 v.1</v>
      </c>
      <c r="F69" t="str">
        <f>("2013/10/01 00:00:00")</f>
        <v>2013/10/01 00:00:00</v>
      </c>
      <c r="G69" t="str">
        <f>("1998")</f>
        <v>1998</v>
      </c>
      <c r="H69" t="str">
        <f>("大林慈院醫倫、醫法區")</f>
        <v>大林慈院醫倫、醫法區</v>
      </c>
    </row>
    <row r="70" spans="1:9">
      <c r="A70" t="str">
        <f>("D0008055")</f>
        <v>D0008055</v>
      </c>
      <c r="B70" t="str">
        <f>("醫療過失與因果關係 /")</f>
        <v>醫療過失與因果關係 /</v>
      </c>
      <c r="C70" t="str">
        <f>("曾淑瑜 ")</f>
        <v xml:space="preserve">曾淑瑜 </v>
      </c>
      <c r="D70" t="str">
        <f>("翰蘆圖書,")</f>
        <v>翰蘆圖書,</v>
      </c>
      <c r="E70" t="str">
        <f>("585.79 8365 1998 v.2")</f>
        <v>585.79 8365 1998 v.2</v>
      </c>
      <c r="F70" t="str">
        <f>("2013/10/01 00:00:00")</f>
        <v>2013/10/01 00:00:00</v>
      </c>
      <c r="G70" t="str">
        <f>("1998")</f>
        <v>1998</v>
      </c>
      <c r="H70" t="str">
        <f>("大林慈院醫倫、醫法區")</f>
        <v>大林慈院醫倫、醫法區</v>
      </c>
    </row>
    <row r="71" spans="1:9">
      <c r="A71" t="str">
        <f>("D0010653")</f>
        <v>D0010653</v>
      </c>
      <c r="B71" t="str">
        <f>("醫療過失與因果關係 /")</f>
        <v>醫療過失與因果關係 /</v>
      </c>
      <c r="C71" t="str">
        <f>("曾淑瑜 ")</f>
        <v xml:space="preserve">曾淑瑜 </v>
      </c>
      <c r="D71" t="str">
        <f>("翰蘆圖書,")</f>
        <v>翰蘆圖書,</v>
      </c>
      <c r="E71" t="str">
        <f>("585.79 8365 2007")</f>
        <v>585.79 8365 2007</v>
      </c>
      <c r="F71" t="str">
        <f>("2013/10/01 00:00:00")</f>
        <v>2013/10/01 00:00:00</v>
      </c>
      <c r="G71" t="str">
        <f>("2007")</f>
        <v>2007</v>
      </c>
      <c r="H71" t="str">
        <f>("大林慈院醫倫、醫法區")</f>
        <v>大林慈院醫倫、醫法區</v>
      </c>
      <c r="I71" t="str">
        <f>("學習資源組")</f>
        <v>學習資源組</v>
      </c>
    </row>
    <row r="72" spans="1:9">
      <c r="A72" t="str">
        <f>("D0000384")</f>
        <v>D0000384</v>
      </c>
      <c r="B72" t="str">
        <f>("醫療紛爭 :在臨床醫學與法律實務的探討 /")</f>
        <v>醫療紛爭 :在臨床醫學與法律實務的探討 /</v>
      </c>
      <c r="C72" t="str">
        <f>("李伯璋 ")</f>
        <v xml:space="preserve">李伯璋 </v>
      </c>
      <c r="D72" t="str">
        <f>("新學林,")</f>
        <v>新學林,</v>
      </c>
      <c r="E72" t="str">
        <f>("585.79 8465 2010")</f>
        <v>585.79 8465 2010</v>
      </c>
      <c r="F72" t="str">
        <f>("2013/10/01 00:00:00")</f>
        <v>2013/10/01 00:00:00</v>
      </c>
      <c r="G72" t="str">
        <f>("2010")</f>
        <v>2010</v>
      </c>
      <c r="H72" t="str">
        <f>("大林慈院醫倫、醫法區")</f>
        <v>大林慈院醫倫、醫法區</v>
      </c>
    </row>
    <row r="73" spans="1:9">
      <c r="A73" t="str">
        <f>("D0008891")</f>
        <v>D0008891</v>
      </c>
      <c r="B73" t="str">
        <f>("如何有效的減少醫事糾紛/")</f>
        <v>如何有效的減少醫事糾紛/</v>
      </c>
      <c r="C73" t="str">
        <f>("蔡振修")</f>
        <v>蔡振修</v>
      </c>
      <c r="E73" t="str">
        <f>("585.79 8478")</f>
        <v>585.79 8478</v>
      </c>
      <c r="F73" t="str">
        <f>("2013/10/01 00:00:00")</f>
        <v>2013/10/01 00:00:00</v>
      </c>
      <c r="H73" t="str">
        <f>("大林慈院醫倫、醫法區")</f>
        <v>大林慈院醫倫、醫法區</v>
      </c>
    </row>
    <row r="74" spans="1:9">
      <c r="A74" t="str">
        <f>("D0007078")</f>
        <v>D0007078</v>
      </c>
      <c r="B74" t="str">
        <f>("醫事過失犯罪析論")</f>
        <v>醫事過失犯罪析論</v>
      </c>
      <c r="C74" t="str">
        <f>("")</f>
        <v/>
      </c>
      <c r="D74" t="str">
        <f>("中華民國醫事法律學會")</f>
        <v>中華民國醫事法律學會</v>
      </c>
      <c r="E74" t="str">
        <f>("585.79 8478 1996")</f>
        <v>585.79 8478 1996</v>
      </c>
      <c r="F74" t="str">
        <f>("2013/10/01 00:00:00")</f>
        <v>2013/10/01 00:00:00</v>
      </c>
      <c r="G74" t="str">
        <f>("1996")</f>
        <v>1996</v>
      </c>
      <c r="H74" t="str">
        <f>("大林慈院醫倫、醫法區")</f>
        <v>大林慈院醫倫、醫法區</v>
      </c>
    </row>
    <row r="75" spans="1:9">
      <c r="A75" t="str">
        <f>("D0013598")</f>
        <v>D0013598</v>
      </c>
      <c r="B75" t="str">
        <f>("醫療行為與刑事過失責任 / ")</f>
        <v xml:space="preserve">醫療行為與刑事過失責任 / </v>
      </c>
      <c r="C75" t="str">
        <f>("盧映潔")</f>
        <v>盧映潔</v>
      </c>
      <c r="D75" t="str">
        <f>("新學林, ")</f>
        <v xml:space="preserve">新學林, </v>
      </c>
      <c r="E75" t="str">
        <f>("585.79 8582 2013")</f>
        <v>585.79 8582 2013</v>
      </c>
      <c r="F75" t="str">
        <f>("2014/10/21 00:00:00")</f>
        <v>2014/10/21 00:00:00</v>
      </c>
      <c r="G75" t="str">
        <f>("2013")</f>
        <v>2013</v>
      </c>
      <c r="H75" t="str">
        <f>("大林慈院醫倫、醫法區")</f>
        <v>大林慈院醫倫、醫法區</v>
      </c>
      <c r="I75" t="str">
        <f>("學習資源組")</f>
        <v>學習資源組</v>
      </c>
    </row>
    <row r="76" spans="1:9">
      <c r="A76" t="str">
        <f>("D0008107")</f>
        <v>D0008107</v>
      </c>
      <c r="B76" t="str">
        <f>("醫療糾紛終結手冊 /")</f>
        <v>醫療糾紛終結手冊 /</v>
      </c>
      <c r="C76" t="str">
        <f>("吳旭洲 ")</f>
        <v xml:space="preserve">吳旭洲 </v>
      </c>
      <c r="D76" t="str">
        <f>("合記圖書發行,")</f>
        <v>合記圖書發行,</v>
      </c>
      <c r="E76" t="str">
        <f>("585.79 8744 2005")</f>
        <v>585.79 8744 2005</v>
      </c>
      <c r="F76" t="str">
        <f>("2013/10/01 00:00:00")</f>
        <v>2013/10/01 00:00:00</v>
      </c>
      <c r="G76" t="str">
        <f>("2005")</f>
        <v>2005</v>
      </c>
      <c r="H76" t="str">
        <f>("大林慈院醫倫、醫法區")</f>
        <v>大林慈院醫倫、醫法區</v>
      </c>
    </row>
    <row r="77" spans="1:9">
      <c r="A77" t="str">
        <f>("D0013530")</f>
        <v>D0013530</v>
      </c>
      <c r="B77" t="str">
        <f>("醫療人權與刑法正義 / ")</f>
        <v xml:space="preserve">醫療人權與刑法正義 / </v>
      </c>
      <c r="C77" t="str">
        <f>("張麗卿著 ")</f>
        <v xml:space="preserve">張麗卿著 </v>
      </c>
      <c r="D77" t="str">
        <f>("元照, ")</f>
        <v xml:space="preserve">元照, </v>
      </c>
      <c r="E77" t="str">
        <f>("585.79 8757 2014")</f>
        <v>585.79 8757 2014</v>
      </c>
      <c r="F77" t="str">
        <f>("2014/10/21 00:00:00")</f>
        <v>2014/10/21 00:00:00</v>
      </c>
      <c r="G77" t="str">
        <f>("2014")</f>
        <v>2014</v>
      </c>
      <c r="H77" t="str">
        <f>("大林慈院醫倫、醫法區")</f>
        <v>大林慈院醫倫、醫法區</v>
      </c>
      <c r="I77" t="str">
        <f>("學習資源組")</f>
        <v>學習資源組</v>
      </c>
    </row>
    <row r="78" spans="1:9">
      <c r="A78" t="str">
        <f>("D0005445")</f>
        <v>D0005445</v>
      </c>
      <c r="B78" t="str">
        <f>("醫療升級 糾紛遠離 /")</f>
        <v>醫療升級 糾紛遠離 /</v>
      </c>
      <c r="C78" t="str">
        <f>("歐陽莉 ")</f>
        <v xml:space="preserve">歐陽莉 </v>
      </c>
      <c r="D78" t="str">
        <f>("消費者基金會,")</f>
        <v>消費者基金會,</v>
      </c>
      <c r="E78" t="str">
        <f>("585.79 8766 2004")</f>
        <v>585.79 8766 2004</v>
      </c>
      <c r="F78" t="str">
        <f>("2013/10/01 00:00:00")</f>
        <v>2013/10/01 00:00:00</v>
      </c>
      <c r="G78" t="str">
        <f>("2004")</f>
        <v>2004</v>
      </c>
      <c r="H78" t="str">
        <f>("大林慈院醫倫、醫法區")</f>
        <v>大林慈院醫倫、醫法區</v>
      </c>
    </row>
    <row r="79" spans="1:9">
      <c r="A79" t="str">
        <f>("D0013597")</f>
        <v>D0013597</v>
      </c>
      <c r="B79" t="str">
        <f>("清官難斷「醫」務事 :醫療過失責任與醫療糾紛鑑定 /")</f>
        <v>清官難斷「醫」務事 :醫療過失責任與醫療糾紛鑑定 /</v>
      </c>
      <c r="C79" t="str">
        <f>("吳俊穎 ")</f>
        <v xml:space="preserve">吳俊穎 </v>
      </c>
      <c r="D79" t="str">
        <f>("元照,")</f>
        <v>元照,</v>
      </c>
      <c r="E79" t="str">
        <f>("585.79 8893 2013")</f>
        <v>585.79 8893 2013</v>
      </c>
      <c r="F79" t="str">
        <f>("2014/10/21 00:00:00")</f>
        <v>2014/10/21 00:00:00</v>
      </c>
      <c r="G79" t="str">
        <f>("2013")</f>
        <v>2013</v>
      </c>
      <c r="H79" t="str">
        <f>("大林慈院醫倫、醫法區")</f>
        <v>大林慈院醫倫、醫法區</v>
      </c>
      <c r="I79" t="str">
        <f>("學習資源組")</f>
        <v>學習資源組</v>
      </c>
    </row>
    <row r="80" spans="1:9">
      <c r="A80" t="str">
        <f>("D0003533")</f>
        <v>D0003533</v>
      </c>
      <c r="B80" t="str">
        <f>("法官,我說明夠了嗎? :醫師告知義務的法院判決評析 /")</f>
        <v>法官,我說明夠了嗎? :醫師告知義務的法院判決評析 /</v>
      </c>
      <c r="C80" t="str">
        <f>("吳俊穎著 ")</f>
        <v xml:space="preserve">吳俊穎著 </v>
      </c>
      <c r="D80" t="str">
        <f>("橘井文化,")</f>
        <v>橘井文化,</v>
      </c>
      <c r="E80" t="str">
        <f>("585.79 8894 2010")</f>
        <v>585.79 8894 2010</v>
      </c>
      <c r="F80" t="str">
        <f>("2013/10/01 00:00:00")</f>
        <v>2013/10/01 00:00:00</v>
      </c>
      <c r="G80" t="str">
        <f>("2010")</f>
        <v>2010</v>
      </c>
      <c r="H80" t="str">
        <f>("大林慈院醫倫、醫法區")</f>
        <v>大林慈院醫倫、醫法區</v>
      </c>
      <c r="I80" t="str">
        <f>("學習資源組")</f>
        <v>學習資源組</v>
      </c>
    </row>
    <row r="81" spans="1:9">
      <c r="A81" t="str">
        <f>("D0005577")</f>
        <v>D0005577</v>
      </c>
      <c r="B81" t="str">
        <f>("Medical law and ethics /")</f>
        <v>Medical law and ethics /</v>
      </c>
      <c r="C81" t="str">
        <f>("Fremgen, Bonnie F. ")</f>
        <v xml:space="preserve">Fremgen, Bonnie F. </v>
      </c>
      <c r="D81" t="str">
        <f>("Pearson/Prentice Hall,")</f>
        <v>Pearson/Prentice Hall,</v>
      </c>
      <c r="E81" t="str">
        <f>("W32.5 F74 2005")</f>
        <v>W32.5 F74 2005</v>
      </c>
      <c r="F81" t="str">
        <f>("2013/10/01 00:00:00")</f>
        <v>2013/10/01 00:00:00</v>
      </c>
      <c r="G81" t="str">
        <f>("2005")</f>
        <v>2005</v>
      </c>
      <c r="H81" t="str">
        <f>("大林慈院醫倫、醫法區")</f>
        <v>大林慈院醫倫、醫法區</v>
      </c>
    </row>
    <row r="82" spans="1:9">
      <c r="A82" t="str">
        <f>("D0005578")</f>
        <v>D0005578</v>
      </c>
      <c r="B82" t="str">
        <f>("Medical errors and medical narcissism /")</f>
        <v>Medical errors and medical narcissism /</v>
      </c>
      <c r="C82" t="str">
        <f>("Banja, John D ")</f>
        <v xml:space="preserve">Banja, John D </v>
      </c>
      <c r="D82" t="str">
        <f>("Jones and Bartlett Publishers,")</f>
        <v>Jones and Bartlett Publishers,</v>
      </c>
      <c r="E82" t="str">
        <f>("WB100 B217m 2005")</f>
        <v>WB100 B217m 2005</v>
      </c>
      <c r="F82" t="str">
        <f>("2013/10/01 00:00:00")</f>
        <v>2013/10/01 00:00:00</v>
      </c>
      <c r="G82" t="str">
        <f>("2005")</f>
        <v>2005</v>
      </c>
      <c r="H82" t="str">
        <f>("大林慈院醫倫、醫法區")</f>
        <v>大林慈院醫倫、醫法區</v>
      </c>
      <c r="I82" t="str">
        <f>("PGY")</f>
        <v>PGY</v>
      </c>
    </row>
  </sheetData>
  <sortState ref="A2:J82">
    <sortCondition ref="E2:E82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topLeftCell="B85" workbookViewId="0">
      <selection activeCell="B1" sqref="A1:XFD1048576"/>
    </sheetView>
  </sheetViews>
  <sheetFormatPr defaultRowHeight="16.5"/>
  <cols>
    <col min="1" max="1" width="9.875" bestFit="1" customWidth="1"/>
    <col min="2" max="2" width="47.125" style="1" customWidth="1"/>
    <col min="3" max="3" width="24.75" customWidth="1"/>
    <col min="4" max="5" width="22" customWidth="1"/>
    <col min="6" max="6" width="18.875" hidden="1" customWidth="1"/>
    <col min="7" max="7" width="11.875" customWidth="1"/>
    <col min="8" max="8" width="23.875" customWidth="1"/>
    <col min="9" max="9" width="21.375" bestFit="1" customWidth="1"/>
  </cols>
  <sheetData>
    <row r="1" spans="1:10" s="11" customFormat="1">
      <c r="A1" s="11" t="s">
        <v>640</v>
      </c>
      <c r="B1" s="12" t="s">
        <v>0</v>
      </c>
      <c r="C1" s="11" t="s">
        <v>641</v>
      </c>
      <c r="D1" s="11" t="s">
        <v>642</v>
      </c>
      <c r="E1" s="11" t="s">
        <v>1</v>
      </c>
      <c r="F1" s="11" t="s">
        <v>3468</v>
      </c>
      <c r="G1" s="11" t="s">
        <v>643</v>
      </c>
      <c r="H1" s="11" t="s">
        <v>644</v>
      </c>
      <c r="I1" s="11" t="s">
        <v>645</v>
      </c>
      <c r="J1" s="11" t="s">
        <v>3596</v>
      </c>
    </row>
    <row r="2" spans="1:10">
      <c r="A2" t="s">
        <v>3331</v>
      </c>
      <c r="B2" s="1" t="s">
        <v>3332</v>
      </c>
      <c r="C2" t="s">
        <v>3333</v>
      </c>
      <c r="D2" t="s">
        <v>1692</v>
      </c>
      <c r="E2" t="s">
        <v>3334</v>
      </c>
      <c r="F2" t="s">
        <v>3469</v>
      </c>
      <c r="G2" t="s">
        <v>690</v>
      </c>
      <c r="H2" t="s">
        <v>3041</v>
      </c>
      <c r="I2" t="s">
        <v>3245</v>
      </c>
    </row>
    <row r="3" spans="1:10">
      <c r="A3" t="s">
        <v>3241</v>
      </c>
      <c r="B3" s="1" t="s">
        <v>3242</v>
      </c>
      <c r="C3" t="s">
        <v>669</v>
      </c>
      <c r="D3" t="s">
        <v>3243</v>
      </c>
      <c r="E3" t="s">
        <v>3244</v>
      </c>
      <c r="F3" t="s">
        <v>3469</v>
      </c>
      <c r="G3" t="s">
        <v>738</v>
      </c>
      <c r="H3" t="s">
        <v>3041</v>
      </c>
      <c r="I3" t="s">
        <v>3245</v>
      </c>
    </row>
    <row r="4" spans="1:10">
      <c r="A4" t="s">
        <v>3149</v>
      </c>
      <c r="B4" s="1" t="s">
        <v>3150</v>
      </c>
      <c r="C4" t="s">
        <v>3151</v>
      </c>
      <c r="D4" t="s">
        <v>780</v>
      </c>
      <c r="E4" t="s">
        <v>3152</v>
      </c>
      <c r="F4" t="s">
        <v>3469</v>
      </c>
      <c r="G4" t="s">
        <v>667</v>
      </c>
      <c r="H4" t="s">
        <v>3041</v>
      </c>
      <c r="I4" t="s">
        <v>3153</v>
      </c>
    </row>
    <row r="5" spans="1:10">
      <c r="A5" t="s">
        <v>3036</v>
      </c>
      <c r="B5" s="1" t="s">
        <v>3037</v>
      </c>
      <c r="C5" t="s">
        <v>3038</v>
      </c>
      <c r="D5" t="s">
        <v>3039</v>
      </c>
      <c r="E5" t="s">
        <v>3040</v>
      </c>
      <c r="F5" t="s">
        <v>3469</v>
      </c>
      <c r="G5" t="s">
        <v>889</v>
      </c>
      <c r="H5" t="s">
        <v>3041</v>
      </c>
      <c r="I5" t="s">
        <v>822</v>
      </c>
    </row>
    <row r="6" spans="1:10">
      <c r="A6" t="s">
        <v>3270</v>
      </c>
      <c r="B6" s="1" t="s">
        <v>3271</v>
      </c>
      <c r="C6" t="s">
        <v>3272</v>
      </c>
      <c r="D6" t="s">
        <v>3273</v>
      </c>
      <c r="E6" t="s">
        <v>3274</v>
      </c>
      <c r="F6" t="s">
        <v>3469</v>
      </c>
      <c r="G6" t="s">
        <v>680</v>
      </c>
      <c r="H6" t="s">
        <v>3041</v>
      </c>
    </row>
    <row r="7" spans="1:10">
      <c r="A7" t="s">
        <v>3313</v>
      </c>
      <c r="B7" s="1" t="s">
        <v>3314</v>
      </c>
      <c r="C7" t="s">
        <v>3315</v>
      </c>
      <c r="D7" t="s">
        <v>3316</v>
      </c>
      <c r="E7" t="s">
        <v>3317</v>
      </c>
      <c r="F7" t="s">
        <v>3469</v>
      </c>
      <c r="G7" t="s">
        <v>662</v>
      </c>
      <c r="H7" t="s">
        <v>3041</v>
      </c>
      <c r="I7" t="s">
        <v>652</v>
      </c>
    </row>
    <row r="8" spans="1:10">
      <c r="A8" t="s">
        <v>3091</v>
      </c>
      <c r="B8" s="1" t="s">
        <v>3092</v>
      </c>
      <c r="C8" t="s">
        <v>669</v>
      </c>
      <c r="D8" t="s">
        <v>3093</v>
      </c>
      <c r="E8" t="s">
        <v>3094</v>
      </c>
      <c r="F8" t="s">
        <v>3469</v>
      </c>
      <c r="G8" t="s">
        <v>3095</v>
      </c>
      <c r="H8" t="s">
        <v>3041</v>
      </c>
    </row>
    <row r="9" spans="1:10">
      <c r="A9" t="s">
        <v>3087</v>
      </c>
      <c r="B9" s="1" t="s">
        <v>3088</v>
      </c>
      <c r="C9" t="s">
        <v>669</v>
      </c>
      <c r="E9" t="s">
        <v>3089</v>
      </c>
      <c r="F9" t="s">
        <v>3469</v>
      </c>
      <c r="G9" t="s">
        <v>3090</v>
      </c>
      <c r="H9" t="s">
        <v>3041</v>
      </c>
    </row>
    <row r="10" spans="1:10">
      <c r="A10" t="s">
        <v>3186</v>
      </c>
      <c r="B10" s="1" t="s">
        <v>3187</v>
      </c>
      <c r="C10" t="s">
        <v>3188</v>
      </c>
      <c r="D10" t="s">
        <v>3189</v>
      </c>
      <c r="E10" t="s">
        <v>3190</v>
      </c>
      <c r="F10" t="s">
        <v>3469</v>
      </c>
      <c r="G10" t="s">
        <v>837</v>
      </c>
      <c r="H10" t="s">
        <v>3041</v>
      </c>
      <c r="I10" t="s">
        <v>3191</v>
      </c>
    </row>
    <row r="11" spans="1:10">
      <c r="A11" t="s">
        <v>3217</v>
      </c>
      <c r="B11" s="1" t="s">
        <v>3187</v>
      </c>
      <c r="C11" t="s">
        <v>3188</v>
      </c>
      <c r="D11" t="s">
        <v>3189</v>
      </c>
      <c r="E11" t="s">
        <v>3218</v>
      </c>
      <c r="F11" t="s">
        <v>3469</v>
      </c>
      <c r="G11" t="s">
        <v>837</v>
      </c>
      <c r="H11" t="s">
        <v>3041</v>
      </c>
      <c r="I11" t="s">
        <v>3191</v>
      </c>
    </row>
    <row r="12" spans="1:10">
      <c r="A12" t="s">
        <v>3134</v>
      </c>
      <c r="B12" s="1" t="s">
        <v>3135</v>
      </c>
      <c r="C12" t="s">
        <v>3136</v>
      </c>
      <c r="D12" t="s">
        <v>3137</v>
      </c>
      <c r="E12" t="s">
        <v>3138</v>
      </c>
      <c r="F12" t="s">
        <v>3469</v>
      </c>
      <c r="G12" t="s">
        <v>1074</v>
      </c>
      <c r="H12" t="s">
        <v>3041</v>
      </c>
    </row>
    <row r="13" spans="1:10">
      <c r="A13" t="s">
        <v>3335</v>
      </c>
      <c r="B13" s="1" t="s">
        <v>3135</v>
      </c>
      <c r="C13" t="s">
        <v>3136</v>
      </c>
      <c r="D13" t="s">
        <v>3137</v>
      </c>
      <c r="E13" t="s">
        <v>3336</v>
      </c>
      <c r="F13" t="s">
        <v>3469</v>
      </c>
      <c r="G13" t="s">
        <v>1074</v>
      </c>
      <c r="H13" t="s">
        <v>3041</v>
      </c>
    </row>
    <row r="14" spans="1:10">
      <c r="A14" t="s">
        <v>3069</v>
      </c>
      <c r="B14" s="1" t="s">
        <v>3070</v>
      </c>
      <c r="C14" t="s">
        <v>3071</v>
      </c>
      <c r="D14" t="s">
        <v>3072</v>
      </c>
      <c r="E14" t="s">
        <v>3073</v>
      </c>
      <c r="F14" t="s">
        <v>3469</v>
      </c>
      <c r="G14" t="s">
        <v>802</v>
      </c>
      <c r="H14" t="s">
        <v>3041</v>
      </c>
    </row>
    <row r="15" spans="1:10">
      <c r="A15" t="s">
        <v>3423</v>
      </c>
      <c r="B15" s="1" t="s">
        <v>3424</v>
      </c>
      <c r="C15" t="s">
        <v>3425</v>
      </c>
      <c r="D15" t="s">
        <v>3426</v>
      </c>
      <c r="E15" t="s">
        <v>3427</v>
      </c>
      <c r="F15" t="s">
        <v>3538</v>
      </c>
      <c r="G15" t="s">
        <v>2838</v>
      </c>
      <c r="H15" t="s">
        <v>3041</v>
      </c>
      <c r="I15" t="s">
        <v>2458</v>
      </c>
      <c r="J15" t="s">
        <v>3597</v>
      </c>
    </row>
    <row r="16" spans="1:10">
      <c r="A16" t="s">
        <v>3428</v>
      </c>
      <c r="B16" s="1" t="s">
        <v>3424</v>
      </c>
      <c r="C16" t="s">
        <v>3425</v>
      </c>
      <c r="D16" t="s">
        <v>3426</v>
      </c>
      <c r="E16" t="s">
        <v>3429</v>
      </c>
      <c r="F16" t="s">
        <v>3538</v>
      </c>
      <c r="G16" t="s">
        <v>2838</v>
      </c>
      <c r="H16" t="s">
        <v>3041</v>
      </c>
      <c r="I16" t="s">
        <v>2458</v>
      </c>
      <c r="J16" t="s">
        <v>3597</v>
      </c>
    </row>
    <row r="17" spans="1:10">
      <c r="A17" t="s">
        <v>3318</v>
      </c>
      <c r="B17" s="1" t="s">
        <v>3319</v>
      </c>
      <c r="C17" t="s">
        <v>3320</v>
      </c>
      <c r="D17" t="s">
        <v>3321</v>
      </c>
      <c r="E17" t="s">
        <v>3322</v>
      </c>
      <c r="F17" t="s">
        <v>3469</v>
      </c>
      <c r="G17" t="s">
        <v>1074</v>
      </c>
      <c r="H17" t="s">
        <v>3041</v>
      </c>
      <c r="I17" t="s">
        <v>652</v>
      </c>
    </row>
    <row r="18" spans="1:10">
      <c r="A18" t="s">
        <v>3251</v>
      </c>
      <c r="B18" s="1" t="s">
        <v>3252</v>
      </c>
      <c r="C18" t="s">
        <v>3253</v>
      </c>
      <c r="D18" t="s">
        <v>3066</v>
      </c>
      <c r="E18" t="s">
        <v>3254</v>
      </c>
      <c r="F18" t="s">
        <v>3469</v>
      </c>
      <c r="G18" t="s">
        <v>764</v>
      </c>
      <c r="H18" t="s">
        <v>3041</v>
      </c>
    </row>
    <row r="19" spans="1:10">
      <c r="A19" t="s">
        <v>3182</v>
      </c>
      <c r="B19" s="1" t="s">
        <v>3183</v>
      </c>
      <c r="C19" t="s">
        <v>3184</v>
      </c>
      <c r="D19" t="s">
        <v>1692</v>
      </c>
      <c r="E19" t="s">
        <v>3185</v>
      </c>
      <c r="F19" t="s">
        <v>3469</v>
      </c>
      <c r="G19" t="s">
        <v>690</v>
      </c>
      <c r="H19" t="s">
        <v>3041</v>
      </c>
      <c r="I19" t="s">
        <v>652</v>
      </c>
    </row>
    <row r="20" spans="1:10">
      <c r="A20" t="s">
        <v>3126</v>
      </c>
      <c r="B20" s="1" t="s">
        <v>3127</v>
      </c>
      <c r="C20" t="s">
        <v>669</v>
      </c>
      <c r="D20" t="s">
        <v>3128</v>
      </c>
      <c r="E20" t="s">
        <v>3129</v>
      </c>
      <c r="F20" t="s">
        <v>3469</v>
      </c>
      <c r="G20" t="s">
        <v>690</v>
      </c>
      <c r="H20" t="s">
        <v>3041</v>
      </c>
      <c r="I20" t="s">
        <v>3121</v>
      </c>
    </row>
    <row r="21" spans="1:10">
      <c r="A21" t="s">
        <v>3385</v>
      </c>
      <c r="B21" s="1" t="s">
        <v>3386</v>
      </c>
      <c r="C21" t="s">
        <v>3387</v>
      </c>
      <c r="D21" t="s">
        <v>780</v>
      </c>
      <c r="E21" t="s">
        <v>3388</v>
      </c>
      <c r="F21" t="s">
        <v>3473</v>
      </c>
      <c r="G21" t="s">
        <v>2568</v>
      </c>
      <c r="H21" t="s">
        <v>3041</v>
      </c>
      <c r="I21" t="s">
        <v>2458</v>
      </c>
      <c r="J21" t="s">
        <v>3598</v>
      </c>
    </row>
    <row r="22" spans="1:10">
      <c r="A22" t="s">
        <v>3046</v>
      </c>
      <c r="B22" s="1" t="s">
        <v>3047</v>
      </c>
      <c r="C22" t="s">
        <v>669</v>
      </c>
      <c r="D22" t="s">
        <v>3048</v>
      </c>
      <c r="E22" t="s">
        <v>3049</v>
      </c>
      <c r="F22" t="s">
        <v>3469</v>
      </c>
      <c r="G22" t="s">
        <v>3050</v>
      </c>
      <c r="H22" t="s">
        <v>3041</v>
      </c>
    </row>
    <row r="23" spans="1:10">
      <c r="A23" t="s">
        <v>3110</v>
      </c>
      <c r="B23" s="1" t="s">
        <v>3064</v>
      </c>
      <c r="C23" t="s">
        <v>3065</v>
      </c>
      <c r="D23" t="s">
        <v>3066</v>
      </c>
      <c r="E23" t="s">
        <v>3111</v>
      </c>
      <c r="F23" t="s">
        <v>3469</v>
      </c>
      <c r="G23" t="s">
        <v>662</v>
      </c>
      <c r="H23" t="s">
        <v>3041</v>
      </c>
      <c r="I23" t="s">
        <v>3068</v>
      </c>
    </row>
    <row r="24" spans="1:10">
      <c r="A24" t="s">
        <v>3329</v>
      </c>
      <c r="B24" s="1" t="s">
        <v>3064</v>
      </c>
      <c r="C24" t="s">
        <v>3065</v>
      </c>
      <c r="D24" t="s">
        <v>3066</v>
      </c>
      <c r="E24" t="s">
        <v>3330</v>
      </c>
      <c r="F24" t="s">
        <v>3469</v>
      </c>
      <c r="G24" t="s">
        <v>662</v>
      </c>
      <c r="H24" t="s">
        <v>3041</v>
      </c>
      <c r="I24" t="s">
        <v>3068</v>
      </c>
    </row>
    <row r="25" spans="1:10">
      <c r="A25" t="s">
        <v>3063</v>
      </c>
      <c r="B25" s="1" t="s">
        <v>3064</v>
      </c>
      <c r="C25" t="s">
        <v>3065</v>
      </c>
      <c r="D25" t="s">
        <v>3066</v>
      </c>
      <c r="E25" t="s">
        <v>3067</v>
      </c>
      <c r="F25" t="s">
        <v>3469</v>
      </c>
      <c r="G25" t="s">
        <v>662</v>
      </c>
      <c r="H25" t="s">
        <v>3041</v>
      </c>
      <c r="I25" t="s">
        <v>3068</v>
      </c>
    </row>
    <row r="26" spans="1:10">
      <c r="A26" t="s">
        <v>3116</v>
      </c>
      <c r="B26" s="1" t="s">
        <v>3117</v>
      </c>
      <c r="C26" t="s">
        <v>3118</v>
      </c>
      <c r="D26" t="s">
        <v>3119</v>
      </c>
      <c r="E26" t="s">
        <v>3120</v>
      </c>
      <c r="F26" t="s">
        <v>3469</v>
      </c>
      <c r="G26" t="s">
        <v>667</v>
      </c>
      <c r="H26" t="s">
        <v>3041</v>
      </c>
      <c r="I26" t="s">
        <v>3121</v>
      </c>
    </row>
    <row r="27" spans="1:10">
      <c r="A27" t="s">
        <v>3366</v>
      </c>
      <c r="B27" s="1" t="s">
        <v>3367</v>
      </c>
      <c r="C27" t="s">
        <v>3118</v>
      </c>
      <c r="D27" t="s">
        <v>3368</v>
      </c>
      <c r="E27" t="s">
        <v>3369</v>
      </c>
      <c r="F27" t="s">
        <v>3473</v>
      </c>
      <c r="G27" t="s">
        <v>2568</v>
      </c>
      <c r="H27" t="s">
        <v>3041</v>
      </c>
      <c r="I27" t="s">
        <v>691</v>
      </c>
      <c r="J27" t="s">
        <v>3599</v>
      </c>
    </row>
    <row r="28" spans="1:10">
      <c r="A28" t="s">
        <v>3293</v>
      </c>
      <c r="B28" s="1" t="s">
        <v>3294</v>
      </c>
      <c r="C28" t="s">
        <v>3295</v>
      </c>
      <c r="D28" t="s">
        <v>1692</v>
      </c>
      <c r="E28" t="s">
        <v>3296</v>
      </c>
      <c r="F28" t="s">
        <v>3469</v>
      </c>
      <c r="G28" t="s">
        <v>662</v>
      </c>
      <c r="H28" t="s">
        <v>3041</v>
      </c>
    </row>
    <row r="29" spans="1:10">
      <c r="A29" t="s">
        <v>3380</v>
      </c>
      <c r="B29" s="1" t="s">
        <v>3381</v>
      </c>
      <c r="C29" t="s">
        <v>3382</v>
      </c>
      <c r="D29" t="s">
        <v>3383</v>
      </c>
      <c r="E29" t="s">
        <v>3384</v>
      </c>
      <c r="F29" t="s">
        <v>3473</v>
      </c>
      <c r="G29" t="s">
        <v>2543</v>
      </c>
      <c r="H29" t="s">
        <v>3041</v>
      </c>
      <c r="I29" t="s">
        <v>2458</v>
      </c>
      <c r="J29" t="s">
        <v>3600</v>
      </c>
    </row>
    <row r="30" spans="1:10">
      <c r="A30" t="s">
        <v>3299</v>
      </c>
      <c r="B30" s="1" t="s">
        <v>3300</v>
      </c>
      <c r="C30" t="s">
        <v>3301</v>
      </c>
      <c r="D30" t="s">
        <v>3302</v>
      </c>
      <c r="E30" t="s">
        <v>3303</v>
      </c>
      <c r="F30" t="s">
        <v>3469</v>
      </c>
      <c r="G30" t="s">
        <v>685</v>
      </c>
      <c r="H30" t="s">
        <v>3041</v>
      </c>
    </row>
    <row r="31" spans="1:10">
      <c r="A31" t="s">
        <v>3192</v>
      </c>
      <c r="B31" s="1" t="s">
        <v>3193</v>
      </c>
      <c r="C31" t="s">
        <v>3188</v>
      </c>
      <c r="D31" t="s">
        <v>3189</v>
      </c>
      <c r="E31" t="s">
        <v>3194</v>
      </c>
      <c r="F31" t="s">
        <v>3469</v>
      </c>
      <c r="G31" t="s">
        <v>837</v>
      </c>
      <c r="H31" t="s">
        <v>3041</v>
      </c>
      <c r="I31" t="s">
        <v>3195</v>
      </c>
    </row>
    <row r="32" spans="1:10">
      <c r="A32" t="s">
        <v>3215</v>
      </c>
      <c r="B32" s="1" t="s">
        <v>3193</v>
      </c>
      <c r="C32" t="s">
        <v>3188</v>
      </c>
      <c r="D32" t="s">
        <v>3189</v>
      </c>
      <c r="E32" t="s">
        <v>3216</v>
      </c>
      <c r="F32" t="s">
        <v>3469</v>
      </c>
      <c r="G32" t="s">
        <v>837</v>
      </c>
      <c r="H32" t="s">
        <v>3041</v>
      </c>
      <c r="I32" t="s">
        <v>3195</v>
      </c>
    </row>
    <row r="33" spans="1:10">
      <c r="A33" t="s">
        <v>3227</v>
      </c>
      <c r="B33" s="1" t="s">
        <v>3228</v>
      </c>
      <c r="C33" t="s">
        <v>3229</v>
      </c>
      <c r="D33" t="s">
        <v>3173</v>
      </c>
      <c r="E33" t="s">
        <v>3230</v>
      </c>
      <c r="F33" t="s">
        <v>3469</v>
      </c>
      <c r="G33" t="s">
        <v>657</v>
      </c>
      <c r="H33" t="s">
        <v>3041</v>
      </c>
    </row>
    <row r="34" spans="1:10">
      <c r="A34" t="s">
        <v>3231</v>
      </c>
      <c r="B34" s="1" t="s">
        <v>3228</v>
      </c>
      <c r="C34" t="s">
        <v>3229</v>
      </c>
      <c r="D34" t="s">
        <v>3173</v>
      </c>
      <c r="E34" t="s">
        <v>3232</v>
      </c>
      <c r="F34" t="s">
        <v>3469</v>
      </c>
      <c r="G34" t="s">
        <v>657</v>
      </c>
      <c r="H34" t="s">
        <v>3041</v>
      </c>
    </row>
    <row r="35" spans="1:10">
      <c r="A35" t="s">
        <v>3260</v>
      </c>
      <c r="B35" s="1" t="s">
        <v>3261</v>
      </c>
      <c r="C35" t="s">
        <v>669</v>
      </c>
      <c r="D35" t="s">
        <v>3262</v>
      </c>
      <c r="E35" t="s">
        <v>3263</v>
      </c>
      <c r="F35" t="s">
        <v>3469</v>
      </c>
      <c r="G35" t="s">
        <v>2238</v>
      </c>
      <c r="H35" t="s">
        <v>3041</v>
      </c>
    </row>
    <row r="36" spans="1:10">
      <c r="A36" t="s">
        <v>3264</v>
      </c>
      <c r="B36" s="1" t="s">
        <v>3261</v>
      </c>
      <c r="C36" t="s">
        <v>669</v>
      </c>
      <c r="D36" t="s">
        <v>3262</v>
      </c>
      <c r="E36" t="s">
        <v>3265</v>
      </c>
      <c r="F36" t="s">
        <v>3469</v>
      </c>
      <c r="G36" t="s">
        <v>2238</v>
      </c>
      <c r="H36" t="s">
        <v>3041</v>
      </c>
    </row>
    <row r="37" spans="1:10">
      <c r="A37" t="s">
        <v>3304</v>
      </c>
      <c r="B37" s="1" t="s">
        <v>3261</v>
      </c>
      <c r="C37" t="s">
        <v>669</v>
      </c>
      <c r="D37" t="s">
        <v>3262</v>
      </c>
      <c r="E37" t="s">
        <v>3305</v>
      </c>
      <c r="F37" t="s">
        <v>3469</v>
      </c>
      <c r="G37" t="s">
        <v>2238</v>
      </c>
      <c r="H37" t="s">
        <v>3041</v>
      </c>
    </row>
    <row r="38" spans="1:10">
      <c r="A38" t="s">
        <v>3096</v>
      </c>
      <c r="B38" s="1" t="s">
        <v>3097</v>
      </c>
      <c r="C38" t="s">
        <v>3098</v>
      </c>
      <c r="D38" t="s">
        <v>911</v>
      </c>
      <c r="E38" t="s">
        <v>3099</v>
      </c>
      <c r="F38" t="s">
        <v>3469</v>
      </c>
      <c r="G38" t="s">
        <v>667</v>
      </c>
      <c r="H38" t="s">
        <v>3041</v>
      </c>
      <c r="I38" t="s">
        <v>3100</v>
      </c>
    </row>
    <row r="39" spans="1:10">
      <c r="A39" t="s">
        <v>3158</v>
      </c>
      <c r="B39" s="1" t="s">
        <v>3159</v>
      </c>
      <c r="C39" t="s">
        <v>669</v>
      </c>
      <c r="D39" t="s">
        <v>1172</v>
      </c>
      <c r="E39" t="s">
        <v>3160</v>
      </c>
      <c r="F39" t="s">
        <v>3469</v>
      </c>
      <c r="G39" t="s">
        <v>704</v>
      </c>
      <c r="H39" t="s">
        <v>3041</v>
      </c>
    </row>
    <row r="40" spans="1:10">
      <c r="A40" t="s">
        <v>3106</v>
      </c>
      <c r="B40" s="1" t="s">
        <v>3107</v>
      </c>
      <c r="C40" t="s">
        <v>669</v>
      </c>
      <c r="D40" t="s">
        <v>3108</v>
      </c>
      <c r="E40" t="s">
        <v>3109</v>
      </c>
      <c r="F40" t="s">
        <v>3469</v>
      </c>
      <c r="G40" t="s">
        <v>650</v>
      </c>
      <c r="H40" t="s">
        <v>3041</v>
      </c>
    </row>
    <row r="41" spans="1:10">
      <c r="A41" t="s">
        <v>3142</v>
      </c>
      <c r="B41" s="1" t="s">
        <v>3143</v>
      </c>
      <c r="C41" t="s">
        <v>3144</v>
      </c>
      <c r="D41" t="s">
        <v>3145</v>
      </c>
      <c r="E41" t="s">
        <v>3146</v>
      </c>
      <c r="F41" t="s">
        <v>3469</v>
      </c>
      <c r="G41" t="s">
        <v>1074</v>
      </c>
      <c r="H41" t="s">
        <v>3041</v>
      </c>
    </row>
    <row r="42" spans="1:10">
      <c r="A42" t="s">
        <v>3255</v>
      </c>
      <c r="B42" s="1" t="s">
        <v>3256</v>
      </c>
      <c r="C42" t="s">
        <v>3257</v>
      </c>
      <c r="D42" t="s">
        <v>3258</v>
      </c>
      <c r="E42" t="s">
        <v>3259</v>
      </c>
      <c r="F42" t="s">
        <v>3469</v>
      </c>
      <c r="G42" t="s">
        <v>764</v>
      </c>
      <c r="H42" t="s">
        <v>3041</v>
      </c>
    </row>
    <row r="43" spans="1:10">
      <c r="A43" t="s">
        <v>3359</v>
      </c>
      <c r="B43" s="1" t="s">
        <v>3360</v>
      </c>
      <c r="C43" t="s">
        <v>3361</v>
      </c>
      <c r="D43" t="s">
        <v>3362</v>
      </c>
      <c r="E43" t="s">
        <v>3363</v>
      </c>
      <c r="F43" t="s">
        <v>3541</v>
      </c>
      <c r="G43" t="s">
        <v>2436</v>
      </c>
      <c r="H43" t="s">
        <v>3041</v>
      </c>
      <c r="I43" t="s">
        <v>691</v>
      </c>
      <c r="J43" t="s">
        <v>3601</v>
      </c>
    </row>
    <row r="44" spans="1:10">
      <c r="A44" t="s">
        <v>3374</v>
      </c>
      <c r="B44" s="1" t="s">
        <v>3375</v>
      </c>
      <c r="C44" t="s">
        <v>3376</v>
      </c>
      <c r="D44" t="s">
        <v>780</v>
      </c>
      <c r="E44" t="s">
        <v>3377</v>
      </c>
      <c r="F44" t="s">
        <v>3473</v>
      </c>
      <c r="G44" t="s">
        <v>2568</v>
      </c>
      <c r="H44" t="s">
        <v>3041</v>
      </c>
      <c r="I44" t="s">
        <v>822</v>
      </c>
      <c r="J44" t="s">
        <v>3602</v>
      </c>
    </row>
    <row r="45" spans="1:10">
      <c r="A45" t="s">
        <v>3378</v>
      </c>
      <c r="B45" s="1" t="s">
        <v>3375</v>
      </c>
      <c r="C45" t="s">
        <v>3376</v>
      </c>
      <c r="D45" t="s">
        <v>780</v>
      </c>
      <c r="E45" t="s">
        <v>3379</v>
      </c>
      <c r="F45" t="s">
        <v>3473</v>
      </c>
      <c r="G45" t="s">
        <v>2568</v>
      </c>
      <c r="H45" t="s">
        <v>3041</v>
      </c>
      <c r="I45" t="s">
        <v>822</v>
      </c>
      <c r="J45" t="s">
        <v>3602</v>
      </c>
    </row>
    <row r="46" spans="1:10">
      <c r="A46" t="s">
        <v>3154</v>
      </c>
      <c r="B46" s="1" t="s">
        <v>3155</v>
      </c>
      <c r="C46" t="s">
        <v>3156</v>
      </c>
      <c r="D46" t="s">
        <v>3066</v>
      </c>
      <c r="E46" t="s">
        <v>3157</v>
      </c>
      <c r="F46" t="s">
        <v>3469</v>
      </c>
      <c r="G46" t="s">
        <v>685</v>
      </c>
      <c r="H46" t="s">
        <v>3041</v>
      </c>
    </row>
    <row r="47" spans="1:10">
      <c r="A47" t="s">
        <v>3198</v>
      </c>
      <c r="B47" s="1" t="s">
        <v>3155</v>
      </c>
      <c r="C47" t="s">
        <v>3156</v>
      </c>
      <c r="D47" t="s">
        <v>3066</v>
      </c>
      <c r="E47" t="s">
        <v>3199</v>
      </c>
      <c r="F47" t="s">
        <v>3469</v>
      </c>
      <c r="G47" t="s">
        <v>685</v>
      </c>
      <c r="H47" t="s">
        <v>3041</v>
      </c>
    </row>
    <row r="48" spans="1:10">
      <c r="A48" t="s">
        <v>3225</v>
      </c>
      <c r="B48" s="1" t="s">
        <v>3155</v>
      </c>
      <c r="C48" t="s">
        <v>3156</v>
      </c>
      <c r="D48" t="s">
        <v>3066</v>
      </c>
      <c r="E48" t="s">
        <v>3226</v>
      </c>
      <c r="F48" t="s">
        <v>3469</v>
      </c>
      <c r="G48" t="s">
        <v>685</v>
      </c>
      <c r="H48" t="s">
        <v>3041</v>
      </c>
    </row>
    <row r="49" spans="1:10">
      <c r="A49" t="s">
        <v>3389</v>
      </c>
      <c r="B49" s="1" t="s">
        <v>3390</v>
      </c>
      <c r="C49" t="s">
        <v>3156</v>
      </c>
      <c r="D49" t="s">
        <v>3391</v>
      </c>
      <c r="E49" t="s">
        <v>3392</v>
      </c>
      <c r="F49" t="s">
        <v>3473</v>
      </c>
      <c r="G49" t="s">
        <v>2568</v>
      </c>
      <c r="H49" t="s">
        <v>3041</v>
      </c>
      <c r="I49" t="s">
        <v>2458</v>
      </c>
      <c r="J49" t="s">
        <v>3603</v>
      </c>
    </row>
    <row r="50" spans="1:10">
      <c r="A50" t="s">
        <v>3286</v>
      </c>
      <c r="B50" s="1" t="s">
        <v>3287</v>
      </c>
      <c r="C50" t="s">
        <v>3288</v>
      </c>
      <c r="D50" t="s">
        <v>780</v>
      </c>
      <c r="E50" t="s">
        <v>3289</v>
      </c>
      <c r="F50" t="s">
        <v>3469</v>
      </c>
      <c r="G50" t="s">
        <v>680</v>
      </c>
      <c r="H50" t="s">
        <v>3041</v>
      </c>
    </row>
    <row r="51" spans="1:10">
      <c r="A51" t="s">
        <v>3122</v>
      </c>
      <c r="B51" s="1" t="s">
        <v>3123</v>
      </c>
      <c r="C51" t="s">
        <v>3124</v>
      </c>
      <c r="D51" t="s">
        <v>780</v>
      </c>
      <c r="E51" t="s">
        <v>3125</v>
      </c>
      <c r="F51" t="s">
        <v>3469</v>
      </c>
      <c r="G51" t="s">
        <v>650</v>
      </c>
      <c r="H51" t="s">
        <v>3041</v>
      </c>
    </row>
    <row r="52" spans="1:10">
      <c r="A52" t="s">
        <v>3147</v>
      </c>
      <c r="B52" s="1" t="s">
        <v>3123</v>
      </c>
      <c r="C52" t="s">
        <v>3124</v>
      </c>
      <c r="D52" t="s">
        <v>780</v>
      </c>
      <c r="E52" t="s">
        <v>3148</v>
      </c>
      <c r="F52" t="s">
        <v>3469</v>
      </c>
      <c r="G52" t="s">
        <v>650</v>
      </c>
      <c r="H52" t="s">
        <v>3041</v>
      </c>
    </row>
    <row r="53" spans="1:10">
      <c r="A53" t="s">
        <v>3290</v>
      </c>
      <c r="B53" s="1" t="s">
        <v>3123</v>
      </c>
      <c r="C53" t="s">
        <v>3291</v>
      </c>
      <c r="D53" t="s">
        <v>780</v>
      </c>
      <c r="E53" t="s">
        <v>3292</v>
      </c>
      <c r="F53" t="s">
        <v>3469</v>
      </c>
      <c r="G53" t="s">
        <v>662</v>
      </c>
      <c r="H53" t="s">
        <v>3041</v>
      </c>
    </row>
    <row r="54" spans="1:10">
      <c r="A54" t="s">
        <v>3057</v>
      </c>
      <c r="B54" s="1" t="s">
        <v>3058</v>
      </c>
      <c r="C54" t="s">
        <v>3059</v>
      </c>
      <c r="D54" t="s">
        <v>3060</v>
      </c>
      <c r="E54" t="s">
        <v>3061</v>
      </c>
      <c r="F54" t="s">
        <v>3469</v>
      </c>
      <c r="G54" t="s">
        <v>662</v>
      </c>
      <c r="H54" t="s">
        <v>3041</v>
      </c>
      <c r="I54" t="s">
        <v>3062</v>
      </c>
    </row>
    <row r="55" spans="1:10">
      <c r="A55" t="s">
        <v>3407</v>
      </c>
      <c r="B55" s="1" t="s">
        <v>3408</v>
      </c>
      <c r="C55" t="s">
        <v>3409</v>
      </c>
      <c r="D55" t="s">
        <v>3410</v>
      </c>
      <c r="E55" t="s">
        <v>3411</v>
      </c>
      <c r="F55" t="s">
        <v>3604</v>
      </c>
      <c r="G55" t="s">
        <v>2238</v>
      </c>
      <c r="H55" t="s">
        <v>3041</v>
      </c>
      <c r="I55" t="s">
        <v>3412</v>
      </c>
      <c r="J55" t="s">
        <v>3605</v>
      </c>
    </row>
    <row r="56" spans="1:10">
      <c r="A56" t="s">
        <v>3161</v>
      </c>
      <c r="B56" s="1" t="s">
        <v>3162</v>
      </c>
      <c r="C56" t="s">
        <v>3163</v>
      </c>
      <c r="D56" t="s">
        <v>3164</v>
      </c>
      <c r="E56" t="s">
        <v>3165</v>
      </c>
      <c r="F56" t="s">
        <v>3469</v>
      </c>
      <c r="G56" t="s">
        <v>650</v>
      </c>
      <c r="H56" t="s">
        <v>3041</v>
      </c>
    </row>
    <row r="57" spans="1:10">
      <c r="A57" t="s">
        <v>3196</v>
      </c>
      <c r="B57" s="1" t="s">
        <v>3162</v>
      </c>
      <c r="C57" t="s">
        <v>3163</v>
      </c>
      <c r="D57" t="s">
        <v>3164</v>
      </c>
      <c r="E57" t="s">
        <v>3197</v>
      </c>
      <c r="F57" t="s">
        <v>3469</v>
      </c>
      <c r="G57" t="s">
        <v>650</v>
      </c>
      <c r="H57" t="s">
        <v>3041</v>
      </c>
    </row>
    <row r="58" spans="1:10">
      <c r="A58" t="s">
        <v>3284</v>
      </c>
      <c r="B58" s="1" t="s">
        <v>3162</v>
      </c>
      <c r="C58" t="s">
        <v>3163</v>
      </c>
      <c r="D58" t="s">
        <v>3164</v>
      </c>
      <c r="E58" t="s">
        <v>3285</v>
      </c>
      <c r="F58" t="s">
        <v>3469</v>
      </c>
      <c r="G58" t="s">
        <v>650</v>
      </c>
      <c r="H58" t="s">
        <v>3041</v>
      </c>
    </row>
    <row r="59" spans="1:10">
      <c r="A59" t="s">
        <v>3337</v>
      </c>
      <c r="B59" s="1" t="s">
        <v>3162</v>
      </c>
      <c r="C59" t="s">
        <v>3163</v>
      </c>
      <c r="D59" t="s">
        <v>3164</v>
      </c>
      <c r="E59" t="s">
        <v>3338</v>
      </c>
      <c r="F59" t="s">
        <v>3469</v>
      </c>
      <c r="G59" t="s">
        <v>650</v>
      </c>
      <c r="H59" t="s">
        <v>3041</v>
      </c>
    </row>
    <row r="60" spans="1:10">
      <c r="A60" t="s">
        <v>3354</v>
      </c>
      <c r="B60" s="1" t="s">
        <v>3355</v>
      </c>
      <c r="C60" t="s">
        <v>3356</v>
      </c>
      <c r="D60" t="s">
        <v>3357</v>
      </c>
      <c r="E60" t="s">
        <v>3358</v>
      </c>
      <c r="F60" t="s">
        <v>3480</v>
      </c>
      <c r="G60" t="s">
        <v>657</v>
      </c>
      <c r="H60" t="s">
        <v>3041</v>
      </c>
      <c r="I60" t="s">
        <v>2458</v>
      </c>
      <c r="J60" t="s">
        <v>3606</v>
      </c>
    </row>
    <row r="61" spans="1:10">
      <c r="A61" t="s">
        <v>3448</v>
      </c>
      <c r="B61" s="1" t="s">
        <v>3449</v>
      </c>
      <c r="C61" t="s">
        <v>3450</v>
      </c>
      <c r="D61" t="s">
        <v>3451</v>
      </c>
      <c r="E61" t="s">
        <v>3452</v>
      </c>
      <c r="F61" t="s">
        <v>3559</v>
      </c>
      <c r="G61" t="s">
        <v>2897</v>
      </c>
      <c r="H61" t="s">
        <v>3041</v>
      </c>
      <c r="I61" t="s">
        <v>3062</v>
      </c>
      <c r="J61" t="s">
        <v>3607</v>
      </c>
    </row>
    <row r="62" spans="1:10">
      <c r="A62" t="s">
        <v>3171</v>
      </c>
      <c r="B62" s="1" t="s">
        <v>3172</v>
      </c>
      <c r="C62" t="s">
        <v>669</v>
      </c>
      <c r="D62" t="s">
        <v>3173</v>
      </c>
      <c r="E62" t="s">
        <v>3174</v>
      </c>
      <c r="F62" t="s">
        <v>3469</v>
      </c>
      <c r="G62" t="s">
        <v>657</v>
      </c>
      <c r="H62" t="s">
        <v>3041</v>
      </c>
    </row>
    <row r="63" spans="1:10">
      <c r="A63" t="s">
        <v>3175</v>
      </c>
      <c r="B63" s="1" t="s">
        <v>3172</v>
      </c>
      <c r="C63" t="s">
        <v>669</v>
      </c>
      <c r="D63" t="s">
        <v>3173</v>
      </c>
      <c r="E63" t="s">
        <v>3176</v>
      </c>
      <c r="F63" t="s">
        <v>3469</v>
      </c>
      <c r="G63" t="s">
        <v>657</v>
      </c>
      <c r="H63" t="s">
        <v>3041</v>
      </c>
    </row>
    <row r="64" spans="1:10">
      <c r="A64" t="s">
        <v>3177</v>
      </c>
      <c r="B64" s="1" t="s">
        <v>3172</v>
      </c>
      <c r="C64" t="s">
        <v>669</v>
      </c>
      <c r="D64" t="s">
        <v>3173</v>
      </c>
      <c r="E64" t="s">
        <v>3178</v>
      </c>
      <c r="F64" t="s">
        <v>3469</v>
      </c>
      <c r="G64" t="s">
        <v>657</v>
      </c>
      <c r="H64" t="s">
        <v>3041</v>
      </c>
    </row>
    <row r="65" spans="1:9">
      <c r="A65" t="s">
        <v>3179</v>
      </c>
      <c r="B65" s="1" t="s">
        <v>3180</v>
      </c>
      <c r="C65" t="s">
        <v>669</v>
      </c>
      <c r="D65" t="s">
        <v>3173</v>
      </c>
      <c r="E65" t="s">
        <v>3181</v>
      </c>
      <c r="F65" t="s">
        <v>3469</v>
      </c>
      <c r="G65" t="s">
        <v>657</v>
      </c>
      <c r="H65" t="s">
        <v>3041</v>
      </c>
    </row>
    <row r="66" spans="1:9">
      <c r="A66" t="s">
        <v>3051</v>
      </c>
      <c r="B66" s="1" t="s">
        <v>3052</v>
      </c>
      <c r="C66" t="s">
        <v>3053</v>
      </c>
      <c r="D66" t="s">
        <v>1022</v>
      </c>
      <c r="E66" t="s">
        <v>3054</v>
      </c>
      <c r="F66" t="s">
        <v>3469</v>
      </c>
      <c r="G66" t="s">
        <v>777</v>
      </c>
      <c r="H66" t="s">
        <v>3041</v>
      </c>
    </row>
    <row r="67" spans="1:9">
      <c r="A67" t="s">
        <v>3055</v>
      </c>
      <c r="B67" s="1" t="s">
        <v>3052</v>
      </c>
      <c r="C67" t="s">
        <v>3053</v>
      </c>
      <c r="D67" t="s">
        <v>1022</v>
      </c>
      <c r="E67" t="s">
        <v>3056</v>
      </c>
      <c r="F67" t="s">
        <v>3469</v>
      </c>
      <c r="G67" t="s">
        <v>777</v>
      </c>
      <c r="H67" t="s">
        <v>3041</v>
      </c>
    </row>
    <row r="68" spans="1:9">
      <c r="A68" t="s">
        <v>3306</v>
      </c>
      <c r="B68" s="1" t="s">
        <v>3238</v>
      </c>
      <c r="C68" t="s">
        <v>669</v>
      </c>
      <c r="D68" t="s">
        <v>3239</v>
      </c>
      <c r="E68" t="s">
        <v>3307</v>
      </c>
      <c r="F68" t="s">
        <v>3469</v>
      </c>
      <c r="H68" t="s">
        <v>3041</v>
      </c>
      <c r="I68" t="s">
        <v>3153</v>
      </c>
    </row>
    <row r="69" spans="1:9">
      <c r="A69" t="s">
        <v>3237</v>
      </c>
      <c r="B69" s="1" t="s">
        <v>3238</v>
      </c>
      <c r="C69" t="s">
        <v>669</v>
      </c>
      <c r="D69" t="s">
        <v>3239</v>
      </c>
      <c r="E69" t="s">
        <v>3240</v>
      </c>
      <c r="F69" t="s">
        <v>3469</v>
      </c>
      <c r="H69" t="s">
        <v>3041</v>
      </c>
      <c r="I69" t="s">
        <v>3153</v>
      </c>
    </row>
    <row r="70" spans="1:9">
      <c r="A70" t="s">
        <v>3139</v>
      </c>
      <c r="B70" s="1" t="s">
        <v>3140</v>
      </c>
      <c r="C70" t="s">
        <v>669</v>
      </c>
      <c r="D70" t="s">
        <v>1165</v>
      </c>
      <c r="E70" t="s">
        <v>3141</v>
      </c>
      <c r="F70" t="s">
        <v>3469</v>
      </c>
      <c r="G70" t="s">
        <v>667</v>
      </c>
      <c r="H70" t="s">
        <v>3041</v>
      </c>
    </row>
    <row r="71" spans="1:9">
      <c r="A71" t="s">
        <v>3233</v>
      </c>
      <c r="B71" s="1" t="s">
        <v>3234</v>
      </c>
      <c r="C71" t="s">
        <v>669</v>
      </c>
      <c r="D71" t="s">
        <v>3235</v>
      </c>
      <c r="E71" t="s">
        <v>3236</v>
      </c>
      <c r="F71" t="s">
        <v>3469</v>
      </c>
      <c r="G71" t="s">
        <v>764</v>
      </c>
      <c r="H71" t="s">
        <v>3041</v>
      </c>
    </row>
    <row r="72" spans="1:9">
      <c r="A72" t="s">
        <v>3323</v>
      </c>
      <c r="B72" s="1" t="s">
        <v>3324</v>
      </c>
      <c r="C72" t="s">
        <v>669</v>
      </c>
      <c r="D72" t="s">
        <v>3325</v>
      </c>
      <c r="E72" t="s">
        <v>3326</v>
      </c>
      <c r="F72" t="s">
        <v>3469</v>
      </c>
      <c r="G72" t="s">
        <v>667</v>
      </c>
      <c r="H72" t="s">
        <v>3041</v>
      </c>
    </row>
    <row r="73" spans="1:9">
      <c r="A73" t="s">
        <v>3327</v>
      </c>
      <c r="B73" s="1" t="s">
        <v>3324</v>
      </c>
      <c r="C73" t="s">
        <v>669</v>
      </c>
      <c r="D73" t="s">
        <v>3325</v>
      </c>
      <c r="E73" t="s">
        <v>3328</v>
      </c>
      <c r="F73" t="s">
        <v>3469</v>
      </c>
      <c r="G73" t="s">
        <v>667</v>
      </c>
      <c r="H73" t="s">
        <v>3041</v>
      </c>
    </row>
    <row r="74" spans="1:9">
      <c r="A74" t="s">
        <v>3266</v>
      </c>
      <c r="B74" s="1" t="s">
        <v>3267</v>
      </c>
      <c r="C74" t="s">
        <v>3268</v>
      </c>
      <c r="D74" t="s">
        <v>1022</v>
      </c>
      <c r="E74" t="s">
        <v>3269</v>
      </c>
      <c r="F74" t="s">
        <v>3469</v>
      </c>
      <c r="G74" t="s">
        <v>680</v>
      </c>
      <c r="H74" t="s">
        <v>3041</v>
      </c>
    </row>
    <row r="75" spans="1:9">
      <c r="A75" t="s">
        <v>3112</v>
      </c>
      <c r="B75" s="1" t="s">
        <v>3113</v>
      </c>
      <c r="C75" t="s">
        <v>669</v>
      </c>
      <c r="D75" t="s">
        <v>3114</v>
      </c>
      <c r="E75" t="s">
        <v>3115</v>
      </c>
      <c r="F75" t="s">
        <v>3469</v>
      </c>
      <c r="G75" t="s">
        <v>662</v>
      </c>
      <c r="H75" t="s">
        <v>3041</v>
      </c>
    </row>
    <row r="76" spans="1:9">
      <c r="A76" t="s">
        <v>3166</v>
      </c>
      <c r="B76" s="1" t="s">
        <v>3167</v>
      </c>
      <c r="C76" t="s">
        <v>3168</v>
      </c>
      <c r="D76" t="s">
        <v>3169</v>
      </c>
      <c r="E76" t="s">
        <v>3170</v>
      </c>
      <c r="F76" t="s">
        <v>3469</v>
      </c>
      <c r="G76" t="s">
        <v>802</v>
      </c>
      <c r="H76" t="s">
        <v>3041</v>
      </c>
    </row>
    <row r="77" spans="1:9">
      <c r="A77" t="s">
        <v>3210</v>
      </c>
      <c r="B77" s="1" t="s">
        <v>3211</v>
      </c>
      <c r="C77" t="s">
        <v>3212</v>
      </c>
      <c r="D77" t="s">
        <v>3213</v>
      </c>
      <c r="E77" t="s">
        <v>3214</v>
      </c>
      <c r="F77" t="s">
        <v>3469</v>
      </c>
      <c r="G77" t="s">
        <v>729</v>
      </c>
      <c r="H77" t="s">
        <v>3041</v>
      </c>
    </row>
    <row r="78" spans="1:9">
      <c r="A78" t="s">
        <v>3275</v>
      </c>
      <c r="B78" s="1" t="s">
        <v>3276</v>
      </c>
      <c r="C78" t="s">
        <v>669</v>
      </c>
      <c r="D78" t="s">
        <v>1165</v>
      </c>
      <c r="E78" t="s">
        <v>3277</v>
      </c>
      <c r="F78" t="s">
        <v>3469</v>
      </c>
      <c r="G78" t="s">
        <v>685</v>
      </c>
      <c r="H78" t="s">
        <v>3041</v>
      </c>
    </row>
    <row r="79" spans="1:9">
      <c r="A79" t="s">
        <v>3130</v>
      </c>
      <c r="B79" s="1" t="s">
        <v>3131</v>
      </c>
      <c r="C79" t="s">
        <v>3132</v>
      </c>
      <c r="D79" t="s">
        <v>780</v>
      </c>
      <c r="E79" t="s">
        <v>3133</v>
      </c>
      <c r="F79" t="s">
        <v>3469</v>
      </c>
      <c r="G79" t="s">
        <v>667</v>
      </c>
      <c r="H79" t="s">
        <v>3041</v>
      </c>
      <c r="I79" t="s">
        <v>3062</v>
      </c>
    </row>
    <row r="80" spans="1:9">
      <c r="A80" t="s">
        <v>3344</v>
      </c>
      <c r="B80" s="1" t="s">
        <v>3345</v>
      </c>
      <c r="C80" t="s">
        <v>3346</v>
      </c>
      <c r="D80" t="s">
        <v>3066</v>
      </c>
      <c r="E80" t="s">
        <v>3347</v>
      </c>
      <c r="F80" t="s">
        <v>3469</v>
      </c>
      <c r="G80" t="s">
        <v>2238</v>
      </c>
      <c r="H80" t="s">
        <v>3041</v>
      </c>
      <c r="I80" t="s">
        <v>3348</v>
      </c>
    </row>
    <row r="81" spans="1:10">
      <c r="A81" t="s">
        <v>3364</v>
      </c>
      <c r="B81" s="1" t="s">
        <v>3345</v>
      </c>
      <c r="C81" t="s">
        <v>3346</v>
      </c>
      <c r="D81" t="s">
        <v>3066</v>
      </c>
      <c r="E81" t="s">
        <v>3365</v>
      </c>
      <c r="F81" t="s">
        <v>3608</v>
      </c>
      <c r="G81" t="s">
        <v>2238</v>
      </c>
      <c r="H81" t="s">
        <v>3041</v>
      </c>
      <c r="I81" t="s">
        <v>3348</v>
      </c>
    </row>
    <row r="82" spans="1:10">
      <c r="A82" t="s">
        <v>3370</v>
      </c>
      <c r="B82" s="1" t="s">
        <v>3371</v>
      </c>
      <c r="C82" t="s">
        <v>3372</v>
      </c>
      <c r="D82" t="s">
        <v>2511</v>
      </c>
      <c r="E82" t="s">
        <v>3373</v>
      </c>
      <c r="F82" t="s">
        <v>3473</v>
      </c>
      <c r="G82" t="s">
        <v>2488</v>
      </c>
      <c r="H82" t="s">
        <v>3041</v>
      </c>
      <c r="I82" t="s">
        <v>691</v>
      </c>
      <c r="J82" t="s">
        <v>3599</v>
      </c>
    </row>
    <row r="83" spans="1:10">
      <c r="A83" t="s">
        <v>3398</v>
      </c>
      <c r="B83" s="1" t="s">
        <v>3399</v>
      </c>
      <c r="C83" t="s">
        <v>3400</v>
      </c>
      <c r="D83" t="s">
        <v>780</v>
      </c>
      <c r="E83" t="s">
        <v>3401</v>
      </c>
      <c r="F83" t="s">
        <v>3483</v>
      </c>
      <c r="G83" t="s">
        <v>2543</v>
      </c>
      <c r="H83" t="s">
        <v>3041</v>
      </c>
      <c r="I83" t="s">
        <v>691</v>
      </c>
      <c r="J83" t="s">
        <v>3609</v>
      </c>
    </row>
    <row r="84" spans="1:10">
      <c r="A84" t="s">
        <v>3444</v>
      </c>
      <c r="B84" s="1" t="s">
        <v>3445</v>
      </c>
      <c r="C84" t="s">
        <v>3446</v>
      </c>
      <c r="D84" t="s">
        <v>957</v>
      </c>
      <c r="E84" t="s">
        <v>3447</v>
      </c>
      <c r="F84" t="s">
        <v>3559</v>
      </c>
      <c r="G84" t="s">
        <v>2897</v>
      </c>
      <c r="H84" t="s">
        <v>3041</v>
      </c>
      <c r="I84" t="s">
        <v>3062</v>
      </c>
      <c r="J84" t="s">
        <v>3607</v>
      </c>
    </row>
    <row r="85" spans="1:10">
      <c r="A85" t="s">
        <v>3413</v>
      </c>
      <c r="B85" s="1" t="s">
        <v>3414</v>
      </c>
      <c r="C85" t="s">
        <v>3415</v>
      </c>
      <c r="D85" t="s">
        <v>3416</v>
      </c>
      <c r="E85" t="s">
        <v>3417</v>
      </c>
      <c r="F85" t="s">
        <v>3604</v>
      </c>
      <c r="G85" t="s">
        <v>2669</v>
      </c>
      <c r="H85" t="s">
        <v>3041</v>
      </c>
      <c r="I85" t="s">
        <v>3412</v>
      </c>
      <c r="J85" t="s">
        <v>3610</v>
      </c>
    </row>
    <row r="86" spans="1:10">
      <c r="A86" t="s">
        <v>3439</v>
      </c>
      <c r="B86" s="1" t="s">
        <v>3440</v>
      </c>
      <c r="C86" t="s">
        <v>3441</v>
      </c>
      <c r="D86" t="s">
        <v>3442</v>
      </c>
      <c r="E86" t="s">
        <v>3443</v>
      </c>
      <c r="F86" t="s">
        <v>3544</v>
      </c>
      <c r="G86" t="s">
        <v>2488</v>
      </c>
      <c r="H86" t="s">
        <v>3041</v>
      </c>
      <c r="I86" t="s">
        <v>822</v>
      </c>
      <c r="J86" t="s">
        <v>3611</v>
      </c>
    </row>
    <row r="87" spans="1:10">
      <c r="A87" t="s">
        <v>3339</v>
      </c>
      <c r="B87" s="1" t="s">
        <v>3340</v>
      </c>
      <c r="C87" t="s">
        <v>3341</v>
      </c>
      <c r="D87" t="s">
        <v>3342</v>
      </c>
      <c r="E87" t="s">
        <v>3343</v>
      </c>
      <c r="F87" t="s">
        <v>3469</v>
      </c>
      <c r="G87" t="s">
        <v>667</v>
      </c>
      <c r="H87" t="s">
        <v>3041</v>
      </c>
      <c r="I87" t="s">
        <v>3062</v>
      </c>
    </row>
    <row r="88" spans="1:10">
      <c r="A88" t="s">
        <v>3205</v>
      </c>
      <c r="B88" s="1" t="s">
        <v>3206</v>
      </c>
      <c r="C88" t="s">
        <v>3207</v>
      </c>
      <c r="D88" t="s">
        <v>3208</v>
      </c>
      <c r="E88" t="s">
        <v>3209</v>
      </c>
      <c r="F88" t="s">
        <v>3469</v>
      </c>
      <c r="G88" t="s">
        <v>738</v>
      </c>
      <c r="H88" t="s">
        <v>3041</v>
      </c>
    </row>
    <row r="89" spans="1:10">
      <c r="A89" t="s">
        <v>3101</v>
      </c>
      <c r="B89" s="1" t="s">
        <v>3102</v>
      </c>
      <c r="C89" t="s">
        <v>3103</v>
      </c>
      <c r="D89" t="s">
        <v>3104</v>
      </c>
      <c r="E89" t="s">
        <v>3105</v>
      </c>
      <c r="F89" t="s">
        <v>3469</v>
      </c>
      <c r="G89" t="s">
        <v>777</v>
      </c>
      <c r="H89" t="s">
        <v>3041</v>
      </c>
      <c r="I89" t="s">
        <v>3062</v>
      </c>
    </row>
    <row r="90" spans="1:10">
      <c r="A90" t="s">
        <v>3434</v>
      </c>
      <c r="B90" s="1" t="s">
        <v>3435</v>
      </c>
      <c r="C90" t="s">
        <v>3436</v>
      </c>
      <c r="D90" t="s">
        <v>3437</v>
      </c>
      <c r="E90" t="s">
        <v>3438</v>
      </c>
      <c r="F90" t="s">
        <v>3544</v>
      </c>
      <c r="G90" t="s">
        <v>2543</v>
      </c>
      <c r="H90" t="s">
        <v>3041</v>
      </c>
      <c r="I90" t="s">
        <v>822</v>
      </c>
      <c r="J90" t="s">
        <v>3612</v>
      </c>
    </row>
    <row r="91" spans="1:10">
      <c r="A91" t="s">
        <v>3430</v>
      </c>
      <c r="B91" s="1" t="s">
        <v>3431</v>
      </c>
      <c r="C91" t="s">
        <v>3432</v>
      </c>
      <c r="D91" t="s">
        <v>2570</v>
      </c>
      <c r="E91" t="s">
        <v>3433</v>
      </c>
      <c r="F91" t="s">
        <v>3544</v>
      </c>
      <c r="G91" t="s">
        <v>2838</v>
      </c>
      <c r="H91" t="s">
        <v>3041</v>
      </c>
      <c r="I91" t="s">
        <v>822</v>
      </c>
      <c r="J91" t="s">
        <v>3613</v>
      </c>
    </row>
    <row r="92" spans="1:10">
      <c r="A92" t="s">
        <v>3402</v>
      </c>
      <c r="B92" s="1" t="s">
        <v>3403</v>
      </c>
      <c r="C92" t="s">
        <v>3404</v>
      </c>
      <c r="D92" t="s">
        <v>3405</v>
      </c>
      <c r="E92" t="s">
        <v>3406</v>
      </c>
      <c r="F92" t="s">
        <v>3604</v>
      </c>
      <c r="G92" t="s">
        <v>2740</v>
      </c>
      <c r="H92" t="s">
        <v>3041</v>
      </c>
      <c r="I92" t="s">
        <v>3062</v>
      </c>
      <c r="J92" t="s">
        <v>3614</v>
      </c>
    </row>
    <row r="93" spans="1:10">
      <c r="A93" t="s">
        <v>3082</v>
      </c>
      <c r="B93" s="1" t="s">
        <v>3083</v>
      </c>
      <c r="C93" t="s">
        <v>3084</v>
      </c>
      <c r="D93" t="s">
        <v>3085</v>
      </c>
      <c r="E93" t="s">
        <v>3086</v>
      </c>
      <c r="F93" t="s">
        <v>3469</v>
      </c>
      <c r="G93" t="s">
        <v>874</v>
      </c>
      <c r="H93" t="s">
        <v>3041</v>
      </c>
    </row>
    <row r="94" spans="1:10">
      <c r="A94" t="s">
        <v>3074</v>
      </c>
      <c r="B94" s="1" t="s">
        <v>3075</v>
      </c>
      <c r="C94" t="s">
        <v>3076</v>
      </c>
      <c r="D94" t="s">
        <v>1045</v>
      </c>
      <c r="E94" t="s">
        <v>3077</v>
      </c>
      <c r="F94" t="s">
        <v>3469</v>
      </c>
      <c r="G94" t="s">
        <v>817</v>
      </c>
      <c r="H94" t="s">
        <v>3041</v>
      </c>
    </row>
    <row r="95" spans="1:10">
      <c r="A95" t="s">
        <v>3393</v>
      </c>
      <c r="B95" s="1" t="s">
        <v>3394</v>
      </c>
      <c r="C95" t="s">
        <v>3395</v>
      </c>
      <c r="D95" t="s">
        <v>3396</v>
      </c>
      <c r="E95" t="s">
        <v>3397</v>
      </c>
      <c r="F95" t="s">
        <v>3473</v>
      </c>
      <c r="G95" t="s">
        <v>657</v>
      </c>
      <c r="H95" t="s">
        <v>3041</v>
      </c>
      <c r="I95" t="s">
        <v>822</v>
      </c>
      <c r="J95" t="s">
        <v>3615</v>
      </c>
    </row>
    <row r="96" spans="1:10">
      <c r="A96" t="s">
        <v>3453</v>
      </c>
      <c r="B96" s="1" t="s">
        <v>3454</v>
      </c>
      <c r="C96" t="s">
        <v>3455</v>
      </c>
      <c r="D96" t="s">
        <v>3456</v>
      </c>
      <c r="E96" t="s">
        <v>3457</v>
      </c>
      <c r="F96" t="s">
        <v>3559</v>
      </c>
      <c r="G96" t="s">
        <v>2897</v>
      </c>
      <c r="H96" t="s">
        <v>3041</v>
      </c>
      <c r="I96" t="s">
        <v>3062</v>
      </c>
      <c r="J96" t="s">
        <v>3607</v>
      </c>
    </row>
    <row r="97" spans="1:10">
      <c r="A97" t="s">
        <v>3418</v>
      </c>
      <c r="B97" s="1" t="s">
        <v>3419</v>
      </c>
      <c r="C97" t="s">
        <v>3420</v>
      </c>
      <c r="D97" t="s">
        <v>3421</v>
      </c>
      <c r="E97" t="s">
        <v>3422</v>
      </c>
      <c r="F97" t="s">
        <v>3604</v>
      </c>
      <c r="G97" t="s">
        <v>2740</v>
      </c>
      <c r="H97" t="s">
        <v>3041</v>
      </c>
      <c r="I97" t="s">
        <v>3062</v>
      </c>
      <c r="J97" t="s">
        <v>3616</v>
      </c>
    </row>
    <row r="98" spans="1:10">
      <c r="A98" t="s">
        <v>3458</v>
      </c>
      <c r="B98" s="1" t="s">
        <v>3459</v>
      </c>
      <c r="C98" t="s">
        <v>3460</v>
      </c>
      <c r="D98" t="s">
        <v>3461</v>
      </c>
      <c r="E98" t="s">
        <v>3462</v>
      </c>
      <c r="F98" t="s">
        <v>3559</v>
      </c>
      <c r="G98" t="s">
        <v>2914</v>
      </c>
      <c r="H98" t="s">
        <v>3041</v>
      </c>
      <c r="I98" t="s">
        <v>3062</v>
      </c>
      <c r="J98" t="s">
        <v>3617</v>
      </c>
    </row>
    <row r="99" spans="1:10">
      <c r="A99" t="s">
        <v>3078</v>
      </c>
      <c r="B99" s="1" t="s">
        <v>3079</v>
      </c>
      <c r="C99" t="s">
        <v>3080</v>
      </c>
      <c r="D99" t="s">
        <v>1045</v>
      </c>
      <c r="E99" t="s">
        <v>3081</v>
      </c>
      <c r="F99" t="s">
        <v>3469</v>
      </c>
      <c r="G99" t="s">
        <v>704</v>
      </c>
      <c r="H99" t="s">
        <v>3041</v>
      </c>
    </row>
    <row r="100" spans="1:10">
      <c r="A100" t="s">
        <v>3219</v>
      </c>
      <c r="B100" s="1" t="s">
        <v>3220</v>
      </c>
      <c r="C100" t="s">
        <v>3221</v>
      </c>
      <c r="D100" t="s">
        <v>3203</v>
      </c>
      <c r="E100" t="s">
        <v>3222</v>
      </c>
      <c r="F100" t="s">
        <v>3469</v>
      </c>
      <c r="G100" t="s">
        <v>704</v>
      </c>
      <c r="H100" t="s">
        <v>3041</v>
      </c>
    </row>
    <row r="101" spans="1:10">
      <c r="A101" t="s">
        <v>3223</v>
      </c>
      <c r="B101" s="1" t="s">
        <v>3220</v>
      </c>
      <c r="C101" t="s">
        <v>3221</v>
      </c>
      <c r="D101" t="s">
        <v>3203</v>
      </c>
      <c r="E101" t="s">
        <v>3224</v>
      </c>
      <c r="F101" t="s">
        <v>3469</v>
      </c>
      <c r="G101" t="s">
        <v>704</v>
      </c>
      <c r="H101" t="s">
        <v>3041</v>
      </c>
    </row>
    <row r="102" spans="1:10">
      <c r="A102" t="s">
        <v>3297</v>
      </c>
      <c r="B102" s="1" t="s">
        <v>3220</v>
      </c>
      <c r="C102" t="s">
        <v>3221</v>
      </c>
      <c r="D102" t="s">
        <v>3203</v>
      </c>
      <c r="E102" t="s">
        <v>3298</v>
      </c>
      <c r="F102" t="s">
        <v>3469</v>
      </c>
      <c r="G102" t="s">
        <v>889</v>
      </c>
      <c r="H102" t="s">
        <v>3041</v>
      </c>
    </row>
    <row r="103" spans="1:10">
      <c r="A103" t="s">
        <v>3200</v>
      </c>
      <c r="B103" s="1" t="s">
        <v>3201</v>
      </c>
      <c r="C103" t="s">
        <v>3202</v>
      </c>
      <c r="D103" t="s">
        <v>3203</v>
      </c>
      <c r="E103" t="s">
        <v>3204</v>
      </c>
      <c r="F103" t="s">
        <v>3469</v>
      </c>
      <c r="G103" t="s">
        <v>1074</v>
      </c>
      <c r="H103" t="s">
        <v>3041</v>
      </c>
    </row>
    <row r="104" spans="1:10">
      <c r="A104" t="s">
        <v>3349</v>
      </c>
      <c r="B104" s="1" t="s">
        <v>3350</v>
      </c>
      <c r="C104" t="s">
        <v>3351</v>
      </c>
      <c r="D104" t="s">
        <v>3352</v>
      </c>
      <c r="E104" t="s">
        <v>3353</v>
      </c>
      <c r="F104" t="s">
        <v>3469</v>
      </c>
      <c r="G104" t="s">
        <v>2238</v>
      </c>
      <c r="H104" t="s">
        <v>3041</v>
      </c>
      <c r="I104" t="s">
        <v>652</v>
      </c>
    </row>
    <row r="105" spans="1:10">
      <c r="A105" t="s">
        <v>3042</v>
      </c>
      <c r="B105" s="1" t="s">
        <v>3043</v>
      </c>
      <c r="C105" t="s">
        <v>669</v>
      </c>
      <c r="D105" t="s">
        <v>3044</v>
      </c>
      <c r="E105" t="s">
        <v>3045</v>
      </c>
      <c r="F105" t="s">
        <v>3469</v>
      </c>
      <c r="G105" t="s">
        <v>738</v>
      </c>
      <c r="H105" t="s">
        <v>3041</v>
      </c>
    </row>
    <row r="106" spans="1:10">
      <c r="A106" t="s">
        <v>3308</v>
      </c>
      <c r="B106" s="1" t="s">
        <v>3309</v>
      </c>
      <c r="C106" t="s">
        <v>3310</v>
      </c>
      <c r="D106" t="s">
        <v>3311</v>
      </c>
      <c r="E106" t="s">
        <v>3312</v>
      </c>
      <c r="F106" t="s">
        <v>3469</v>
      </c>
      <c r="G106" t="s">
        <v>662</v>
      </c>
      <c r="H106" t="s">
        <v>3041</v>
      </c>
      <c r="I106" t="s">
        <v>691</v>
      </c>
    </row>
    <row r="107" spans="1:10">
      <c r="A107" t="s">
        <v>3463</v>
      </c>
      <c r="B107" s="1" t="s">
        <v>3464</v>
      </c>
      <c r="C107" t="s">
        <v>3465</v>
      </c>
      <c r="D107" t="s">
        <v>3466</v>
      </c>
      <c r="E107" t="s">
        <v>3467</v>
      </c>
      <c r="F107" t="s">
        <v>3618</v>
      </c>
      <c r="G107" t="s">
        <v>3016</v>
      </c>
      <c r="H107" t="s">
        <v>3041</v>
      </c>
    </row>
    <row r="108" spans="1:10">
      <c r="A108" t="s">
        <v>3278</v>
      </c>
      <c r="B108" s="1" t="s">
        <v>3279</v>
      </c>
      <c r="C108" t="s">
        <v>3280</v>
      </c>
      <c r="D108" t="s">
        <v>3281</v>
      </c>
      <c r="E108" t="s">
        <v>3282</v>
      </c>
      <c r="F108" t="s">
        <v>3469</v>
      </c>
      <c r="G108" t="s">
        <v>680</v>
      </c>
      <c r="H108" t="s">
        <v>3041</v>
      </c>
      <c r="I108" t="s">
        <v>3283</v>
      </c>
    </row>
    <row r="109" spans="1:10">
      <c r="A109" t="s">
        <v>3246</v>
      </c>
      <c r="B109" s="1" t="s">
        <v>3247</v>
      </c>
      <c r="C109" t="s">
        <v>3248</v>
      </c>
      <c r="D109" t="s">
        <v>3249</v>
      </c>
      <c r="E109" t="s">
        <v>3250</v>
      </c>
      <c r="F109" t="s">
        <v>3469</v>
      </c>
      <c r="G109" t="s">
        <v>696</v>
      </c>
      <c r="H109" t="s">
        <v>3041</v>
      </c>
    </row>
  </sheetData>
  <sortState ref="A2:K109">
    <sortCondition ref="E2:E109"/>
  </sortSt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0"/>
  <sheetViews>
    <sheetView topLeftCell="A559" workbookViewId="0">
      <selection sqref="A1:XFD1048576"/>
    </sheetView>
  </sheetViews>
  <sheetFormatPr defaultRowHeight="16.5"/>
  <cols>
    <col min="1" max="1" width="9.875" bestFit="1" customWidth="1"/>
    <col min="2" max="2" width="47.125" customWidth="1"/>
    <col min="3" max="3" width="24.75" customWidth="1"/>
    <col min="4" max="5" width="22" customWidth="1"/>
    <col min="6" max="6" width="16.625" customWidth="1"/>
    <col min="7" max="7" width="11.875" customWidth="1"/>
    <col min="8" max="8" width="23.875" customWidth="1"/>
  </cols>
  <sheetData>
    <row r="1" spans="1:8" s="11" customFormat="1">
      <c r="A1" s="11" t="s">
        <v>640</v>
      </c>
      <c r="B1" s="11" t="s">
        <v>0</v>
      </c>
      <c r="C1" s="11" t="s">
        <v>641</v>
      </c>
      <c r="D1" s="11" t="s">
        <v>642</v>
      </c>
      <c r="E1" s="11" t="s">
        <v>1</v>
      </c>
      <c r="F1" s="11" t="s">
        <v>643</v>
      </c>
      <c r="G1" s="11" t="s">
        <v>644</v>
      </c>
      <c r="H1" s="11" t="s">
        <v>645</v>
      </c>
    </row>
    <row r="2" spans="1:8">
      <c r="A2" t="str">
        <f>("D0006631")</f>
        <v>D0006631</v>
      </c>
      <c r="B2" t="str">
        <f>("瑜伽飲食養生全書 =The complete guide to nature, food and you in Ayurveda /")</f>
        <v>瑜伽飲食養生全書 =The complete guide to nature, food and you in Ayurveda /</v>
      </c>
      <c r="C2" t="str">
        <f>("江信慧(西洋文學) ")</f>
        <v xml:space="preserve">江信慧(西洋文學) </v>
      </c>
      <c r="D2" t="str">
        <f>("商周出版,")</f>
        <v>商周出版,</v>
      </c>
      <c r="E2" t="str">
        <f>("411 8363 2005")</f>
        <v>411 8363 2005</v>
      </c>
      <c r="F2" t="str">
        <f>("2005")</f>
        <v>2005</v>
      </c>
      <c r="G2" t="str">
        <f>("大林慈院藏書區")</f>
        <v>大林慈院藏書區</v>
      </c>
      <c r="H2" t="str">
        <f>("瑜伽社")</f>
        <v>瑜伽社</v>
      </c>
    </row>
    <row r="3" spans="1:8">
      <c r="A3" t="str">
        <f>("D0009646")</f>
        <v>D0009646</v>
      </c>
      <c r="B3" t="str">
        <f>("大手拉小手 健康齊步走 /")</f>
        <v>大手拉小手 健康齊步走 /</v>
      </c>
      <c r="C3" t="str">
        <f>("吾鄉工作坊 ")</f>
        <v xml:space="preserve">吾鄉工作坊 </v>
      </c>
      <c r="D3" t="str">
        <f>("行政院衛生署國民健康局,")</f>
        <v>行政院衛生署國民健康局,</v>
      </c>
      <c r="E3" t="str">
        <f>("411 8474 2005")</f>
        <v>411 8474 2005</v>
      </c>
      <c r="F3" t="str">
        <f>("2005")</f>
        <v>2005</v>
      </c>
      <c r="G3" t="str">
        <f>("大林慈院藏書區")</f>
        <v>大林慈院藏書區</v>
      </c>
    </row>
    <row r="4" spans="1:8">
      <c r="A4" t="str">
        <f>("D0011538")</f>
        <v>D0011538</v>
      </c>
      <c r="B4" t="str">
        <f>("生死兵法")</f>
        <v>生死兵法</v>
      </c>
      <c r="C4" t="str">
        <f>("")</f>
        <v/>
      </c>
      <c r="D4" t="str">
        <f>("五洲傳播")</f>
        <v>五洲傳播</v>
      </c>
      <c r="E4" t="str">
        <f>("411 8729 2010")</f>
        <v>411 8729 2010</v>
      </c>
      <c r="F4" t="str">
        <f>("2010")</f>
        <v>2010</v>
      </c>
      <c r="G4" t="str">
        <f>("大林慈院藏書區")</f>
        <v>大林慈院藏書區</v>
      </c>
    </row>
    <row r="5" spans="1:8">
      <c r="A5" t="str">
        <f>("D0010514")</f>
        <v>D0010514</v>
      </c>
      <c r="B5" t="str">
        <f>("健康促進理論與實務 / ")</f>
        <v xml:space="preserve">健康促進理論與實務 / </v>
      </c>
      <c r="C5" t="str">
        <f>("張蓓貞編著")</f>
        <v>張蓓貞編著</v>
      </c>
      <c r="D5" t="str">
        <f>("新文京開發, ")</f>
        <v xml:space="preserve">新文京開發, </v>
      </c>
      <c r="E5" t="str">
        <f>("411 8754 2007")</f>
        <v>411 8754 2007</v>
      </c>
      <c r="F5" t="str">
        <f>("2007")</f>
        <v>2007</v>
      </c>
      <c r="G5" t="str">
        <f>("大林慈院藏書區")</f>
        <v>大林慈院藏書區</v>
      </c>
    </row>
    <row r="6" spans="1:8">
      <c r="A6" t="str">
        <f>("D0008704")</f>
        <v>D0008704</v>
      </c>
      <c r="B6" t="str">
        <f>("無毒一身輕 /")</f>
        <v>無毒一身輕 /</v>
      </c>
      <c r="C6" t="str">
        <f>("林光常 ")</f>
        <v xml:space="preserve">林光常 </v>
      </c>
      <c r="D6" t="str">
        <f>("世茂,")</f>
        <v>世茂,</v>
      </c>
      <c r="E6" t="str">
        <f>("411 8766 2002 V.1")</f>
        <v>411 8766 2002 V.1</v>
      </c>
      <c r="F6" t="str">
        <f>("2002")</f>
        <v>2002</v>
      </c>
      <c r="G6" t="str">
        <f>("大林慈院藏書區")</f>
        <v>大林慈院藏書區</v>
      </c>
    </row>
    <row r="7" spans="1:8">
      <c r="A7" t="str">
        <f>("D0008705")</f>
        <v>D0008705</v>
      </c>
      <c r="B7" t="str">
        <f>("無毒一身輕 /")</f>
        <v>無毒一身輕 /</v>
      </c>
      <c r="C7" t="str">
        <f>("林光常 ")</f>
        <v xml:space="preserve">林光常 </v>
      </c>
      <c r="D7" t="str">
        <f>("世茂,")</f>
        <v>世茂,</v>
      </c>
      <c r="E7" t="str">
        <f>("411 8766 2004 V.2")</f>
        <v>411 8766 2004 V.2</v>
      </c>
      <c r="F7" t="str">
        <f>("2004")</f>
        <v>2004</v>
      </c>
      <c r="G7" t="str">
        <f>("大林慈院藏書區")</f>
        <v>大林慈院藏書區</v>
      </c>
    </row>
    <row r="8" spans="1:8">
      <c r="A8" t="str">
        <f>("D0007251")</f>
        <v>D0007251</v>
      </c>
      <c r="B8" t="str">
        <f>("最健康的上班族 /")</f>
        <v>最健康的上班族 /</v>
      </c>
      <c r="C8" t="str">
        <f>("禾揚出版事業公司工作小組 ")</f>
        <v xml:space="preserve">禾揚出版事業公司工作小組 </v>
      </c>
      <c r="D8" t="str">
        <f>("禾揚,")</f>
        <v>禾揚,</v>
      </c>
      <c r="E8" t="str">
        <f>("411 896 1997")</f>
        <v>411 896 1997</v>
      </c>
      <c r="F8" t="str">
        <f>("1997")</f>
        <v>1997</v>
      </c>
      <c r="G8" t="str">
        <f>("大林慈院藏書區")</f>
        <v>大林慈院藏書區</v>
      </c>
    </row>
    <row r="9" spans="1:8">
      <c r="A9" t="str">
        <f>("D0000853")</f>
        <v>D0000853</v>
      </c>
      <c r="B9" t="str">
        <f>("健康管理 /")</f>
        <v>健康管理 /</v>
      </c>
      <c r="C9" t="str">
        <f>("眾文圖書股份有限公司 ")</f>
        <v xml:space="preserve">眾文圖書股份有限公司 </v>
      </c>
      <c r="D9" t="str">
        <f>("眾文,")</f>
        <v>眾文,</v>
      </c>
      <c r="E9" t="str">
        <f>("411 8965 1990")</f>
        <v>411 8965 1990</v>
      </c>
      <c r="F9" t="str">
        <f>("1990")</f>
        <v>1990</v>
      </c>
      <c r="G9" t="str">
        <f>("大林慈院藏書區")</f>
        <v>大林慈院藏書區</v>
      </c>
    </row>
    <row r="10" spans="1:8">
      <c r="A10" t="str">
        <f>("D0000847")</f>
        <v>D0000847</v>
      </c>
      <c r="B10" t="str">
        <f>("國民保健手冊 /")</f>
        <v>國民保健手冊 /</v>
      </c>
      <c r="C10" t="str">
        <f>("行政院衛生署 ")</f>
        <v xml:space="preserve">行政院衛生署 </v>
      </c>
      <c r="D10" t="str">
        <f>("衛生署,")</f>
        <v>衛生署,</v>
      </c>
      <c r="E10" t="str">
        <f>("411.026 8775 1995")</f>
        <v>411.026 8775 1995</v>
      </c>
      <c r="F10" t="str">
        <f>("1995")</f>
        <v>1995</v>
      </c>
      <c r="G10" t="str">
        <f>("大林慈院藏書區")</f>
        <v>大林慈院藏書區</v>
      </c>
    </row>
    <row r="11" spans="1:8">
      <c r="A11" t="str">
        <f>("D0009427")</f>
        <v>D0009427</v>
      </c>
      <c r="B11" t="str">
        <f>("公務統計")</f>
        <v>公務統計</v>
      </c>
      <c r="C11" t="str">
        <f>("")</f>
        <v/>
      </c>
      <c r="D11" t="str">
        <f>("行政院衛生署")</f>
        <v>行政院衛生署</v>
      </c>
      <c r="E11" t="str">
        <f>("411.028 8765 2005")</f>
        <v>411.028 8765 2005</v>
      </c>
      <c r="F11" t="str">
        <f>("2005")</f>
        <v>2005</v>
      </c>
      <c r="G11" t="str">
        <f>("大林慈院藏書區")</f>
        <v>大林慈院藏書區</v>
      </c>
    </row>
    <row r="12" spans="1:8">
      <c r="A12" t="str">
        <f>("D0012192")</f>
        <v>D0012192</v>
      </c>
      <c r="B12" t="str">
        <f>("公務統計")</f>
        <v>公務統計</v>
      </c>
      <c r="C12" t="str">
        <f>("")</f>
        <v/>
      </c>
      <c r="D12" t="str">
        <f>("行政院衛生署")</f>
        <v>行政院衛生署</v>
      </c>
      <c r="E12" t="str">
        <f>("411.028 8765 2007")</f>
        <v>411.028 8765 2007</v>
      </c>
      <c r="F12" t="str">
        <f>("2007")</f>
        <v>2007</v>
      </c>
      <c r="G12" t="str">
        <f>("大林慈院藏書區")</f>
        <v>大林慈院藏書區</v>
      </c>
    </row>
    <row r="13" spans="1:8">
      <c r="A13" t="str">
        <f>("D0006570")</f>
        <v>D0006570</v>
      </c>
      <c r="B13" t="str">
        <f>("台灣俗語講講衛生 /")</f>
        <v>台灣俗語講講衛生 /</v>
      </c>
      <c r="C13" t="str">
        <f>("施文儀 ")</f>
        <v xml:space="preserve">施文儀 </v>
      </c>
      <c r="D13" t="str">
        <f>("婦幼家庭發行,")</f>
        <v>婦幼家庭發行,</v>
      </c>
      <c r="E13" t="str">
        <f>("411.07 8465 2005")</f>
        <v>411.07 8465 2005</v>
      </c>
      <c r="F13" t="str">
        <f>("2005")</f>
        <v>2005</v>
      </c>
      <c r="G13" t="str">
        <f>("大林慈院藏書區")</f>
        <v>大林慈院藏書區</v>
      </c>
      <c r="H13" t="str">
        <f>("PGY")</f>
        <v>PGY</v>
      </c>
    </row>
    <row r="14" spans="1:8">
      <c r="A14" t="str">
        <f>("D0006571")</f>
        <v>D0006571</v>
      </c>
      <c r="B14" t="str">
        <f>("台灣俗語講講衛生 /")</f>
        <v>台灣俗語講講衛生 /</v>
      </c>
      <c r="C14" t="str">
        <f>("施文儀 ")</f>
        <v xml:space="preserve">施文儀 </v>
      </c>
      <c r="D14" t="str">
        <f>("婦幼家庭發行,")</f>
        <v>婦幼家庭發行,</v>
      </c>
      <c r="E14" t="str">
        <f>("411.07 8465 2005 c.2")</f>
        <v>411.07 8465 2005 c.2</v>
      </c>
      <c r="F14" t="str">
        <f>("2005")</f>
        <v>2005</v>
      </c>
      <c r="G14" t="str">
        <f>("大林慈院藏書區")</f>
        <v>大林慈院藏書區</v>
      </c>
      <c r="H14" t="str">
        <f>("PGY")</f>
        <v>PGY</v>
      </c>
    </row>
    <row r="15" spans="1:8">
      <c r="A15" t="str">
        <f>("D0006572")</f>
        <v>D0006572</v>
      </c>
      <c r="B15" t="str">
        <f>("台灣俗語講講衛生 /")</f>
        <v>台灣俗語講講衛生 /</v>
      </c>
      <c r="C15" t="str">
        <f>("施文儀 ")</f>
        <v xml:space="preserve">施文儀 </v>
      </c>
      <c r="D15" t="str">
        <f>("婦幼家庭發行,")</f>
        <v>婦幼家庭發行,</v>
      </c>
      <c r="E15" t="str">
        <f>("411.07 8465 2005 c.3")</f>
        <v>411.07 8465 2005 c.3</v>
      </c>
      <c r="F15" t="str">
        <f>("2005")</f>
        <v>2005</v>
      </c>
      <c r="G15" t="str">
        <f>("大林慈院單位藏書")</f>
        <v>大林慈院單位藏書</v>
      </c>
      <c r="H15" t="str">
        <f>("PGY")</f>
        <v>PGY</v>
      </c>
    </row>
    <row r="16" spans="1:8">
      <c r="A16" t="str">
        <f>("D0007427")</f>
        <v>D0007427</v>
      </c>
      <c r="B16" t="str">
        <f>("成人保健書 /")</f>
        <v>成人保健書 /</v>
      </c>
      <c r="C16" t="str">
        <f>("謝瀛華,1958- ")</f>
        <v xml:space="preserve">謝瀛華,1958- </v>
      </c>
      <c r="D16" t="str">
        <f>("遠流出版,")</f>
        <v>遠流出版,</v>
      </c>
      <c r="E16" t="str">
        <f>("411.1 8226 1987")</f>
        <v>411.1 8226 1987</v>
      </c>
      <c r="F16" t="str">
        <f>("1987")</f>
        <v>1987</v>
      </c>
      <c r="G16" t="str">
        <f>("大林慈院藏書區")</f>
        <v>大林慈院藏書區</v>
      </c>
    </row>
    <row r="17" spans="1:8">
      <c r="A17" t="str">
        <f>("D0004750")</f>
        <v>D0004750</v>
      </c>
      <c r="B17" t="str">
        <f>("排毒健康法 :斷食,讓身體更有機 /")</f>
        <v>排毒健康法 :斷食,讓身體更有機 /</v>
      </c>
      <c r="C17" t="str">
        <f>("赫維恩(Helvin, Marie) ")</f>
        <v xml:space="preserve">赫維恩(Helvin, Marie) </v>
      </c>
      <c r="D17" t="str">
        <f>("中天,")</f>
        <v>中天,</v>
      </c>
      <c r="E17" t="str">
        <f>("411.1 827 2000")</f>
        <v>411.1 827 2000</v>
      </c>
      <c r="F17" t="str">
        <f>("2000")</f>
        <v>2000</v>
      </c>
      <c r="G17" t="str">
        <f>("大林慈院藏書區")</f>
        <v>大林慈院藏書區</v>
      </c>
    </row>
    <row r="18" spans="1:8">
      <c r="A18" t="str">
        <f>("D0009809")</f>
        <v>D0009809</v>
      </c>
      <c r="B18" t="str">
        <f>("免疫力 /")</f>
        <v>免疫力 /</v>
      </c>
      <c r="C18" t="str">
        <f>("黃惠鈴 ")</f>
        <v xml:space="preserve">黃惠鈴 </v>
      </c>
      <c r="D18" t="str">
        <f>("天下雜誌公司出版,")</f>
        <v>天下雜誌公司出版,</v>
      </c>
      <c r="E18" t="str">
        <f>("411.1 8335 2003")</f>
        <v>411.1 8335 2003</v>
      </c>
      <c r="F18" t="str">
        <f>("2003")</f>
        <v>2003</v>
      </c>
      <c r="G18" t="str">
        <f>("大林慈院藏書區")</f>
        <v>大林慈院藏書區</v>
      </c>
    </row>
    <row r="19" spans="1:8">
      <c r="A19" t="str">
        <f>("D0007152")</f>
        <v>D0007152</v>
      </c>
      <c r="B19" t="str">
        <f>("孫安迪之身心靈養生醫學觀 =Dr. Sun's guide to body, mind and spirit /")</f>
        <v>孫安迪之身心靈養生醫學觀 =Dr. Sun's guide to body, mind and spirit /</v>
      </c>
      <c r="C19" t="str">
        <f>("孫安迪 ")</f>
        <v xml:space="preserve">孫安迪 </v>
      </c>
      <c r="D19" t="str">
        <f>("自然風文化出版,")</f>
        <v>自然風文化出版,</v>
      </c>
      <c r="E19" t="str">
        <f>("411.1 8353 2001")</f>
        <v>411.1 8353 2001</v>
      </c>
      <c r="F19" t="str">
        <f>("2001")</f>
        <v>2001</v>
      </c>
      <c r="G19" t="str">
        <f>("大林慈院藏書區")</f>
        <v>大林慈院藏書區</v>
      </c>
    </row>
    <row r="20" spans="1:8">
      <c r="A20" t="str">
        <f>("D0006009")</f>
        <v>D0006009</v>
      </c>
      <c r="B20" t="str">
        <f>("人體保健醫學")</f>
        <v>人體保健醫學</v>
      </c>
      <c r="C20" t="str">
        <f>("")</f>
        <v/>
      </c>
      <c r="D20" t="str">
        <f>("暢文")</f>
        <v>暢文</v>
      </c>
      <c r="E20" t="str">
        <f>("411.1 8354 1992")</f>
        <v>411.1 8354 1992</v>
      </c>
      <c r="F20" t="str">
        <f>("1992")</f>
        <v>1992</v>
      </c>
      <c r="G20" t="str">
        <f>("大林慈院藏書區")</f>
        <v>大林慈院藏書區</v>
      </c>
    </row>
    <row r="21" spans="1:8">
      <c r="A21" t="str">
        <f>("D0008049")</f>
        <v>D0008049</v>
      </c>
      <c r="B21" t="str">
        <f>("樂在工作避免過勞 =Enjoy your work /")</f>
        <v>樂在工作避免過勞 =Enjoy your work /</v>
      </c>
      <c r="C21" t="str">
        <f>("杜宗禮 ")</f>
        <v xml:space="preserve">杜宗禮 </v>
      </c>
      <c r="D21" t="str">
        <f>("二魚文化出版,")</f>
        <v>二魚文化出版,</v>
      </c>
      <c r="E21" t="str">
        <f>("411.1 8423 2005")</f>
        <v>411.1 8423 2005</v>
      </c>
      <c r="F21" t="str">
        <f>("2005")</f>
        <v>2005</v>
      </c>
      <c r="G21" t="str">
        <f>("大林慈院藏書區")</f>
        <v>大林慈院藏書區</v>
      </c>
    </row>
    <row r="22" spans="1:8">
      <c r="A22" t="str">
        <f>("D0010947")</f>
        <v>D0010947</v>
      </c>
      <c r="B22" t="str">
        <f>("37°C讓你不生病 /")</f>
        <v>37°C讓你不生病 /</v>
      </c>
      <c r="C22" t="str">
        <f>("石原結實 ")</f>
        <v xml:space="preserve">石原結實 </v>
      </c>
      <c r="D22" t="str">
        <f>("世茂,")</f>
        <v>世茂,</v>
      </c>
      <c r="E22" t="str">
        <f>("411.1 8436 2005")</f>
        <v>411.1 8436 2005</v>
      </c>
      <c r="F22" t="str">
        <f>("2005")</f>
        <v>2005</v>
      </c>
      <c r="G22" t="str">
        <f>("大林慈院藏書區")</f>
        <v>大林慈院藏書區</v>
      </c>
    </row>
    <row r="23" spans="1:8">
      <c r="A23" t="str">
        <f>("D0007162")</f>
        <v>D0007162</v>
      </c>
      <c r="B23" t="str">
        <f>("養生之道")</f>
        <v>養生之道</v>
      </c>
      <c r="C23" t="str">
        <f>("")</f>
        <v/>
      </c>
      <c r="D23" t="str">
        <f>("將門文物")</f>
        <v>將門文物</v>
      </c>
      <c r="E23" t="str">
        <f>("411.1 8446 1995")</f>
        <v>411.1 8446 1995</v>
      </c>
      <c r="F23" t="str">
        <f>("1995")</f>
        <v>1995</v>
      </c>
      <c r="G23" t="str">
        <f>("大林慈院藏書區")</f>
        <v>大林慈院藏書區</v>
      </c>
    </row>
    <row r="24" spans="1:8">
      <c r="A24" t="str">
        <f>("D0006785")</f>
        <v>D0006785</v>
      </c>
      <c r="B24" t="str">
        <f>("28天解毒計畫 /")</f>
        <v>28天解毒計畫 /</v>
      </c>
      <c r="C24" t="str">
        <f>("亞歷山大(Alexander, Jane) ")</f>
        <v xml:space="preserve">亞歷山大(Alexander, Jane) </v>
      </c>
      <c r="D24" t="str">
        <f>("精美,")</f>
        <v>精美,</v>
      </c>
      <c r="E24" t="str">
        <f>("411.1 8446 1999")</f>
        <v>411.1 8446 1999</v>
      </c>
      <c r="F24" t="str">
        <f>("1999")</f>
        <v>1999</v>
      </c>
      <c r="G24" t="str">
        <f>("大林慈院藏書區")</f>
        <v>大林慈院藏書區</v>
      </c>
    </row>
    <row r="25" spans="1:8">
      <c r="A25" t="str">
        <f>("D0012990")</f>
        <v>D0012990</v>
      </c>
      <c r="B25" t="str">
        <f>("小心!保健偽知識 :終結健康迷思的75堂課 /")</f>
        <v>小心!保健偽知識 :終結健康迷思的75堂課 /</v>
      </c>
      <c r="C25" t="str">
        <f>("Caroll, Aaron E ")</f>
        <v xml:space="preserve">Caroll, Aaron E </v>
      </c>
      <c r="D25" t="str">
        <f>("繆思,")</f>
        <v>繆思,</v>
      </c>
      <c r="E25" t="str">
        <f>("411.1 845 2012")</f>
        <v>411.1 845 2012</v>
      </c>
      <c r="F25" t="str">
        <f>("2012")</f>
        <v>2012</v>
      </c>
      <c r="G25" t="str">
        <f>("大林慈院藏書區")</f>
        <v>大林慈院藏書區</v>
      </c>
      <c r="H25" t="str">
        <f>("學習資源組")</f>
        <v>學習資源組</v>
      </c>
    </row>
    <row r="26" spans="1:8">
      <c r="A26" t="str">
        <f>("D0012612")</f>
        <v>D0012612</v>
      </c>
      <c r="B26" t="str">
        <f>("長壽的革命：活到120歲的長壽聖經")</f>
        <v>長壽的革命：活到120歲的長壽聖經</v>
      </c>
      <c r="C26" t="str">
        <f>("趙鐵鎖")</f>
        <v>趙鐵鎖</v>
      </c>
      <c r="D26" t="str">
        <f>("新世界")</f>
        <v>新世界</v>
      </c>
      <c r="E26" t="str">
        <f>("411.1 8455 2009")</f>
        <v>411.1 8455 2009</v>
      </c>
      <c r="F26" t="str">
        <f>("2009")</f>
        <v>2009</v>
      </c>
      <c r="G26" t="str">
        <f>("大林慈院藏書區")</f>
        <v>大林慈院藏書區</v>
      </c>
    </row>
    <row r="27" spans="1:8">
      <c r="A27" t="str">
        <f>("D0013270")</f>
        <v>D0013270</v>
      </c>
      <c r="B27" t="str">
        <f>("15分鐘擺脫疲勞 : 活用41個好習慣,90%的疲憊都會消失! / ")</f>
        <v xml:space="preserve">15分鐘擺脫疲勞 : 活用41個好習慣,90%的疲憊都會消失! / </v>
      </c>
      <c r="C27" t="str">
        <f>("西多昌規著")</f>
        <v>西多昌規著</v>
      </c>
      <c r="D27" t="str">
        <f>("采實文化, ")</f>
        <v xml:space="preserve">采實文化, </v>
      </c>
      <c r="E27" t="str">
        <f>("411.1 8455:2 2013")</f>
        <v>411.1 8455:2 2013</v>
      </c>
      <c r="F27" t="str">
        <f>("2013")</f>
        <v>2013</v>
      </c>
      <c r="G27" t="str">
        <f>("大林慈院藏書區")</f>
        <v>大林慈院藏書區</v>
      </c>
      <c r="H27" t="str">
        <f>("學習資源組")</f>
        <v>學習資源組</v>
      </c>
    </row>
    <row r="28" spans="1:8">
      <c r="A28" t="str">
        <f>("D0014775")</f>
        <v>D0014775</v>
      </c>
      <c r="B28" t="str">
        <f>("圖解完全消除疲勞法 / ")</f>
        <v xml:space="preserve">圖解完全消除疲勞法 / </v>
      </c>
      <c r="C28" t="str">
        <f>("西多昌規")</f>
        <v>西多昌規</v>
      </c>
      <c r="D28" t="str">
        <f>("大田, ")</f>
        <v xml:space="preserve">大田, </v>
      </c>
      <c r="E28" t="str">
        <f>("411.1 8455:2-2 2016")</f>
        <v>411.1 8455:2-2 2016</v>
      </c>
      <c r="F28" t="str">
        <f>("2016")</f>
        <v>2016</v>
      </c>
      <c r="G28" t="str">
        <f>("大林慈院藏書區")</f>
        <v>大林慈院藏書區</v>
      </c>
      <c r="H28" t="str">
        <f>("學習資源組")</f>
        <v>學習資源組</v>
      </c>
    </row>
    <row r="29" spans="1:8">
      <c r="A29" t="str">
        <f>("D0016102")</f>
        <v>D0016102</v>
      </c>
      <c r="B29" t="str">
        <f>("譚敦慈的無毒好生活 /")</f>
        <v>譚敦慈的無毒好生活 /</v>
      </c>
      <c r="C29" t="str">
        <f>("譚敦慈(護理學) ")</f>
        <v xml:space="preserve">譚敦慈(護理學) </v>
      </c>
      <c r="D29" t="str">
        <f>("天下生活出版 ;;大和圖書總經銷 ,")</f>
        <v>天下生活出版 ;;大和圖書總經銷 ,</v>
      </c>
      <c r="E29" t="str">
        <f>("411.1 8462 2017")</f>
        <v>411.1 8462 2017</v>
      </c>
      <c r="F29" t="str">
        <f>("2017")</f>
        <v>2017</v>
      </c>
      <c r="G29" t="str">
        <f>("大林慈院藏書區")</f>
        <v>大林慈院藏書區</v>
      </c>
      <c r="H29" t="str">
        <f>("腫瘤中心")</f>
        <v>腫瘤中心</v>
      </c>
    </row>
    <row r="30" spans="1:8">
      <c r="A30" t="str">
        <f>("D0003799")</f>
        <v>D0003799</v>
      </c>
      <c r="B30" t="str">
        <f>("養命神咒101")</f>
        <v>養命神咒101</v>
      </c>
      <c r="C30" t="str">
        <f>("")</f>
        <v/>
      </c>
      <c r="D30" t="str">
        <f>("水準")</f>
        <v>水準</v>
      </c>
      <c r="E30" t="str">
        <f>("411.1 8463 2007")</f>
        <v>411.1 8463 2007</v>
      </c>
      <c r="F30" t="str">
        <f>("2007")</f>
        <v>2007</v>
      </c>
      <c r="G30" t="str">
        <f>("大林慈院藏書區")</f>
        <v>大林慈院藏書區</v>
      </c>
    </row>
    <row r="31" spans="1:8">
      <c r="A31" t="str">
        <f>("D0000522")</f>
        <v>D0000522</v>
      </c>
      <c r="B31" t="str">
        <f>("與健康有約")</f>
        <v>與健康有約</v>
      </c>
      <c r="C31" t="str">
        <f>("")</f>
        <v/>
      </c>
      <c r="D31" t="str">
        <f>("慈濟醫院")</f>
        <v>慈濟醫院</v>
      </c>
      <c r="E31" t="str">
        <f>("411.1 8464 1996")</f>
        <v>411.1 8464 1996</v>
      </c>
      <c r="F31" t="str">
        <f>("1996")</f>
        <v>1996</v>
      </c>
      <c r="G31" t="str">
        <f>("大林慈院醫學人文區")</f>
        <v>大林慈院醫學人文區</v>
      </c>
    </row>
    <row r="32" spans="1:8">
      <c r="A32" t="str">
        <f>("D0003039")</f>
        <v>D0003039</v>
      </c>
      <c r="B32" t="str">
        <f>("佛教健康法入門 /")</f>
        <v>佛教健康法入門 /</v>
      </c>
      <c r="C32" t="str">
        <f>("朝倉光太郎著 ")</f>
        <v xml:space="preserve">朝倉光太郎著 </v>
      </c>
      <c r="D32" t="str">
        <f>("大展,")</f>
        <v>大展,</v>
      </c>
      <c r="E32" t="str">
        <f>("411.1 8466 1992")</f>
        <v>411.1 8466 1992</v>
      </c>
      <c r="F32" t="str">
        <f>("1992")</f>
        <v>1992</v>
      </c>
      <c r="G32" t="str">
        <f>("大林慈院藏書區")</f>
        <v>大林慈院藏書區</v>
      </c>
    </row>
    <row r="33" spans="1:8">
      <c r="A33" t="str">
        <f>("D0000881")</f>
        <v>D0000881</v>
      </c>
      <c r="B33" t="str">
        <f>("養生之道")</f>
        <v>養生之道</v>
      </c>
      <c r="C33" t="str">
        <f>("")</f>
        <v/>
      </c>
      <c r="D33" t="str">
        <f>("健康世界雜誌社")</f>
        <v>健康世界雜誌社</v>
      </c>
      <c r="E33" t="str">
        <f>("411.1 8473 1984")</f>
        <v>411.1 8473 1984</v>
      </c>
      <c r="F33" t="str">
        <f>("1984")</f>
        <v>1984</v>
      </c>
      <c r="G33" t="str">
        <f>("大林慈院藏書區")</f>
        <v>大林慈院藏書區</v>
      </c>
    </row>
    <row r="34" spans="1:8">
      <c r="A34" t="str">
        <f>("D0005464")</f>
        <v>D0005464</v>
      </c>
      <c r="B34" t="str">
        <f>("身心靈整體健康100問")</f>
        <v>身心靈整體健康100問</v>
      </c>
      <c r="C34" t="str">
        <f>("雷久南")</f>
        <v>雷久南</v>
      </c>
      <c r="D34" t="str">
        <f>("琉璃光發行")</f>
        <v>琉璃光發行</v>
      </c>
      <c r="E34" t="str">
        <f>("411.1 8495 1994")</f>
        <v>411.1 8495 1994</v>
      </c>
      <c r="F34" t="str">
        <f>("1994")</f>
        <v>1994</v>
      </c>
      <c r="G34" t="str">
        <f>("大林慈院藏書區")</f>
        <v>大林慈院藏書區</v>
      </c>
    </row>
    <row r="35" spans="1:8">
      <c r="A35" t="str">
        <f>("D0010950")</f>
        <v>D0010950</v>
      </c>
      <c r="B35" t="str">
        <f>("回歸身的喜悅 /")</f>
        <v>回歸身的喜悅 /</v>
      </c>
      <c r="C35" t="str">
        <f>("雷久南 ")</f>
        <v xml:space="preserve">雷久南 </v>
      </c>
      <c r="D35" t="str">
        <f>("琉璃光發行,")</f>
        <v>琉璃光發行,</v>
      </c>
      <c r="E35" t="str">
        <f>("411.1 8495 1999")</f>
        <v>411.1 8495 1999</v>
      </c>
      <c r="F35" t="str">
        <f>("1999")</f>
        <v>1999</v>
      </c>
      <c r="G35" t="str">
        <f>("大林慈院藏書區")</f>
        <v>大林慈院藏書區</v>
      </c>
    </row>
    <row r="36" spans="1:8">
      <c r="A36" t="str">
        <f>("D0010955")</f>
        <v>D0010955</v>
      </c>
      <c r="B36" t="str">
        <f>(" 六根療法陪我抗腫瘤:?佳抗癌指導大則 /")</f>
        <v xml:space="preserve"> 六根療法陪我抗腫瘤:?佳抗癌指導大則 /</v>
      </c>
      <c r="C36" t="str">
        <f>("呂應鐘著 ")</f>
        <v xml:space="preserve">呂應鐘著 </v>
      </c>
      <c r="D36" t="str">
        <f>("自然風文化,")</f>
        <v>自然風文化,</v>
      </c>
      <c r="E36" t="str">
        <f>("411.1 8526 2003")</f>
        <v>411.1 8526 2003</v>
      </c>
      <c r="F36" t="str">
        <f>("2003")</f>
        <v>2003</v>
      </c>
      <c r="G36" t="str">
        <f>("大林慈院藏書區")</f>
        <v>大林慈院藏書區</v>
      </c>
    </row>
    <row r="37" spans="1:8">
      <c r="A37" t="str">
        <f>("D0010206")</f>
        <v>D0010206</v>
      </c>
      <c r="B37" t="str">
        <f>("發明疾病的人 : 現代醫療產業如何賣掉我們的健康? / ")</f>
        <v xml:space="preserve">發明疾病的人 : 現代醫療產業如何賣掉我們的健康? / </v>
      </c>
      <c r="C37" t="str">
        <f>("布雷希(Blech, Jorg)著")</f>
        <v>布雷希(Blech, Jorg)著</v>
      </c>
      <c r="D37" t="str">
        <f>("左岸文化, ")</f>
        <v xml:space="preserve">左岸文化, </v>
      </c>
      <c r="E37" t="str">
        <f>("411.1 8544 2007")</f>
        <v>411.1 8544 2007</v>
      </c>
      <c r="F37" t="str">
        <f>("2007")</f>
        <v>2007</v>
      </c>
      <c r="G37" t="str">
        <f>("大林慈院醫學人文區")</f>
        <v>大林慈院醫學人文區</v>
      </c>
      <c r="H37" t="str">
        <f>("學習資源組")</f>
        <v>學習資源組</v>
      </c>
    </row>
    <row r="38" spans="1:8">
      <c r="A38" t="str">
        <f>("D0004415")</f>
        <v>D0004415</v>
      </c>
      <c r="B38" t="str">
        <f>("健康傳播 /")</f>
        <v>健康傳播 /</v>
      </c>
      <c r="C38" t="str">
        <f>("柯克蘭(Corcoran, Nova) ")</f>
        <v xml:space="preserve">柯克蘭(Corcoran, Nova) </v>
      </c>
      <c r="D38" t="str">
        <f>("華杏,")</f>
        <v>華杏,</v>
      </c>
      <c r="E38" t="str">
        <f>("411.1 8558 2008")</f>
        <v>411.1 8558 2008</v>
      </c>
      <c r="F38" t="str">
        <f>("2008")</f>
        <v>2008</v>
      </c>
      <c r="G38" t="str">
        <f>("大林慈院藏書區")</f>
        <v>大林慈院藏書區</v>
      </c>
      <c r="H38" t="str">
        <f>("專案經費")</f>
        <v>專案經費</v>
      </c>
    </row>
    <row r="39" spans="1:8">
      <c r="A39" t="str">
        <f>("D0012988")</f>
        <v>D0012988</v>
      </c>
      <c r="B39" t="str">
        <f>("別被健康常識騙了 :你不能不知道的50個健康真相 /")</f>
        <v>別被健康常識騙了 :你不能不知道的50個健康真相 /</v>
      </c>
      <c r="C39" t="str">
        <f>("井上, 健二 ")</f>
        <v xml:space="preserve">井上, 健二 </v>
      </c>
      <c r="D39" t="str">
        <f>("平安文化,")</f>
        <v>平安文化,</v>
      </c>
      <c r="E39" t="str">
        <f>("411.1 8559 2012")</f>
        <v>411.1 8559 2012</v>
      </c>
      <c r="F39" t="str">
        <f>("2012")</f>
        <v>2012</v>
      </c>
      <c r="G39" t="str">
        <f>("大林慈院藏書區")</f>
        <v>大林慈院藏書區</v>
      </c>
      <c r="H39" t="str">
        <f>("學習資源組")</f>
        <v>學習資源組</v>
      </c>
    </row>
    <row r="40" spans="1:8">
      <c r="A40" t="str">
        <f>("D0007165")</f>
        <v>D0007165</v>
      </c>
      <c r="B40" t="str">
        <f>("老人養生妙術 /")</f>
        <v>老人養生妙術 /</v>
      </c>
      <c r="C40" t="str">
        <f>("呂維善 ")</f>
        <v xml:space="preserve">呂維善 </v>
      </c>
      <c r="D40" t="str">
        <f>("發現者出版,")</f>
        <v>發現者出版,</v>
      </c>
      <c r="E40" t="str">
        <f>("411.1 8563 1996")</f>
        <v>411.1 8563 1996</v>
      </c>
      <c r="F40" t="str">
        <f>("1996")</f>
        <v>1996</v>
      </c>
      <c r="G40" t="str">
        <f>("大林慈院藏書區")</f>
        <v>大林慈院藏書區</v>
      </c>
    </row>
    <row r="41" spans="1:8">
      <c r="A41" t="str">
        <f>("D0004488")</f>
        <v>D0004488</v>
      </c>
      <c r="B41" t="str">
        <f>("養生百忌 /")</f>
        <v>養生百忌 /</v>
      </c>
      <c r="C41" t="str">
        <f>("姚香雄 ")</f>
        <v xml:space="preserve">姚香雄 </v>
      </c>
      <c r="D41" t="str">
        <f>("聯經,")</f>
        <v>聯經,</v>
      </c>
      <c r="E41" t="str">
        <f>("411.1 8564 1994")</f>
        <v>411.1 8564 1994</v>
      </c>
      <c r="F41" t="str">
        <f>("1994")</f>
        <v>1994</v>
      </c>
      <c r="G41" t="str">
        <f>("大林慈院藏書區")</f>
        <v>大林慈院藏書區</v>
      </c>
    </row>
    <row r="42" spans="1:8">
      <c r="A42" t="str">
        <f>("D0008773")</f>
        <v>D0008773</v>
      </c>
      <c r="B42" t="str">
        <f>("慈悲溫暖和希望 :大愛手的故事 /")</f>
        <v>慈悲溫暖和希望 :大愛手的故事 /</v>
      </c>
      <c r="C42" t="str">
        <f>("周瑞宏(體育) ")</f>
        <v xml:space="preserve">周瑞宏(體育) </v>
      </c>
      <c r="D42" t="str">
        <f>("和氣大愛文化,")</f>
        <v>和氣大愛文化,</v>
      </c>
      <c r="E42" t="str">
        <f>("411.1 8652 2004")</f>
        <v>411.1 8652 2004</v>
      </c>
      <c r="F42" t="str">
        <f>("2004")</f>
        <v>2004</v>
      </c>
      <c r="G42" t="str">
        <f>("大林慈院藏書區")</f>
        <v>大林慈院藏書區</v>
      </c>
    </row>
    <row r="43" spans="1:8">
      <c r="A43" t="str">
        <f>("D0000840")</f>
        <v>D0000840</v>
      </c>
      <c r="B43" t="str">
        <f>("追求健康 :你最有利的投資 /")</f>
        <v>追求健康 :你最有利的投資 /</v>
      </c>
      <c r="C43" t="str">
        <f>("葛里格茲(Griggs, Rick) ")</f>
        <v xml:space="preserve">葛里格茲(Griggs, Rick) </v>
      </c>
      <c r="D43" t="str">
        <f>("麥田出版,")</f>
        <v>麥田出版,</v>
      </c>
      <c r="E43" t="str">
        <f>("411.1 8654 1993")</f>
        <v>411.1 8654 1993</v>
      </c>
      <c r="F43" t="str">
        <f>("1993")</f>
        <v>1993</v>
      </c>
      <c r="G43" t="str">
        <f>("大林慈院藏書區")</f>
        <v>大林慈院藏書區</v>
      </c>
    </row>
    <row r="44" spans="1:8">
      <c r="A44" t="str">
        <f>("D0015823")</f>
        <v>D0015823</v>
      </c>
      <c r="B44" t="str">
        <f>("楊力養生23講 / ")</f>
        <v xml:space="preserve">楊力養生23講 / </v>
      </c>
      <c r="C44" t="str">
        <f>("楊力")</f>
        <v>楊力</v>
      </c>
      <c r="D44" t="str">
        <f>("時報文化總經銷, ;泰電電業出版 ; ")</f>
        <v xml:space="preserve">時報文化總經銷, ;泰電電業出版 ; </v>
      </c>
      <c r="E44" t="str">
        <f>("411.1 866 2008")</f>
        <v>411.1 866 2008</v>
      </c>
      <c r="F44" t="str">
        <f>("2008")</f>
        <v>2008</v>
      </c>
      <c r="G44" t="str">
        <f>("大林慈院藏書區")</f>
        <v>大林慈院藏書區</v>
      </c>
    </row>
    <row r="45" spans="1:8">
      <c r="A45" t="str">
        <f>("D0004775")</f>
        <v>D0004775</v>
      </c>
      <c r="B45" t="str">
        <f>("醫療健康產業平衡計分卡理論與實務 =Theory and applications of the balanced scorecard in healthcare /")</f>
        <v>醫療健康產業平衡計分卡理論與實務 =Theory and applications of the balanced scorecard in healthcare /</v>
      </c>
      <c r="C45" t="str">
        <f>("周慧琍 ")</f>
        <v xml:space="preserve">周慧琍 </v>
      </c>
      <c r="D45" t="str">
        <f>("華杏,")</f>
        <v>華杏,</v>
      </c>
      <c r="E45" t="str">
        <f>("411.1 8669 2008")</f>
        <v>411.1 8669 2008</v>
      </c>
      <c r="F45" t="str">
        <f>("2008")</f>
        <v>2008</v>
      </c>
      <c r="G45" t="str">
        <f>("大林慈院醫療品質區")</f>
        <v>大林慈院醫療品質區</v>
      </c>
      <c r="H45" t="str">
        <f>("企劃室")</f>
        <v>企劃室</v>
      </c>
    </row>
    <row r="46" spans="1:8">
      <c r="A46" t="str">
        <f>("D0014902")</f>
        <v>D0014902</v>
      </c>
      <c r="B46" t="str">
        <f>("健康不難，這樣生活就對了 : 日常飲食運動教戰手冊 / ")</f>
        <v xml:space="preserve">健康不難，這樣生活就對了 : 日常飲食運動教戰手冊 / </v>
      </c>
      <c r="C46" t="str">
        <f>("文仲瑄")</f>
        <v>文仲瑄</v>
      </c>
      <c r="D46" t="str">
        <f>("衛生福利部國民健康署, ")</f>
        <v xml:space="preserve">衛生福利部國民健康署, </v>
      </c>
      <c r="E46" t="str">
        <f>("411.1 8674 2016")</f>
        <v>411.1 8674 2016</v>
      </c>
      <c r="F46" t="str">
        <f>("2016")</f>
        <v>2016</v>
      </c>
      <c r="G46" t="str">
        <f>("大林慈院藏書區")</f>
        <v>大林慈院藏書區</v>
      </c>
      <c r="H46" t="str">
        <f>("學習資源組")</f>
        <v>學習資源組</v>
      </c>
    </row>
    <row r="47" spans="1:8">
      <c r="A47" t="str">
        <f>("D0004487")</f>
        <v>D0004487</v>
      </c>
      <c r="B47" t="str">
        <f>("自助保建 =Curing illness: the drug-free way /")</f>
        <v>自助保建 =Curing illness: the drug-free way /</v>
      </c>
      <c r="C47" t="str">
        <f>("希爾絲(Hills,Margaret)著 ")</f>
        <v xml:space="preserve">希爾絲(Hills,Margaret)著 </v>
      </c>
      <c r="D47" t="str">
        <f>("天下文化,")</f>
        <v>天下文化,</v>
      </c>
      <c r="E47" t="str">
        <f>("411.1 8735 1992")</f>
        <v>411.1 8735 1992</v>
      </c>
      <c r="F47" t="str">
        <f>("1992")</f>
        <v>1992</v>
      </c>
      <c r="G47" t="str">
        <f>("大林慈院藏書區")</f>
        <v>大林慈院藏書區</v>
      </c>
    </row>
    <row r="48" spans="1:8">
      <c r="A48" t="str">
        <f>("D0004545")</f>
        <v>D0004545</v>
      </c>
      <c r="B48" t="str">
        <f>("快樂就健康 /")</f>
        <v>快樂就健康 /</v>
      </c>
      <c r="C48" t="str">
        <f>("歐恩斯坦(Ornstein, Robert E., 1942-)著 ")</f>
        <v xml:space="preserve">歐恩斯坦(Ornstein, Robert E., 1942-)著 </v>
      </c>
      <c r="D48" t="str">
        <f>("遠流,")</f>
        <v>遠流,</v>
      </c>
      <c r="E48" t="str">
        <f>("411.1 8745 2001")</f>
        <v>411.1 8745 2001</v>
      </c>
      <c r="F48" t="str">
        <f>("2001")</f>
        <v>2001</v>
      </c>
      <c r="G48" t="str">
        <f>("大林慈院藏書區")</f>
        <v>大林慈院藏書區</v>
      </c>
    </row>
    <row r="49" spans="1:8">
      <c r="A49" t="str">
        <f>("D0007333")</f>
        <v>D0007333</v>
      </c>
      <c r="B49" t="str">
        <f>("中國傳統養生學精粹 /")</f>
        <v>中國傳統養生學精粹 /</v>
      </c>
      <c r="C49" t="str">
        <f>("陳可冀主編 ")</f>
        <v xml:space="preserve">陳可冀主編 </v>
      </c>
      <c r="D49" t="str">
        <f>("臺灣商務,")</f>
        <v>臺灣商務,</v>
      </c>
      <c r="E49" t="str">
        <f>("411.1 8748 1991")</f>
        <v>411.1 8748 1991</v>
      </c>
      <c r="F49" t="str">
        <f>("1991")</f>
        <v>1991</v>
      </c>
      <c r="G49" t="str">
        <f>("大林慈院藏書區")</f>
        <v>大林慈院藏書區</v>
      </c>
    </row>
    <row r="50" spans="1:8">
      <c r="A50" t="str">
        <f>("D0016991")</f>
        <v>D0016991</v>
      </c>
      <c r="B50" t="str">
        <f>("關鍵飲食 健康沒有祕密, 只需好好吃一餐 :身體不好都是因為吃錯東西?改變飲食的小習慣, 不花錢也能吃出健康長壽 = The key to diet /")</f>
        <v>關鍵飲食 健康沒有祕密, 只需好好吃一餐 :身體不好都是因為吃錯東西?改變飲食的小習慣, 不花錢也能吃出健康長壽 = The key to diet /</v>
      </c>
      <c r="C50" t="str">
        <f>("陳明憲著")</f>
        <v>陳明憲著</v>
      </c>
      <c r="D50" t="str">
        <f>("崧燁文化,")</f>
        <v>崧燁文化,</v>
      </c>
      <c r="E50" t="str">
        <f>("411.1 8752 2021")</f>
        <v>411.1 8752 2021</v>
      </c>
      <c r="F50" t="str">
        <f>("2021")</f>
        <v>2021</v>
      </c>
      <c r="G50" t="str">
        <f>("大林慈院藏書區")</f>
        <v>大林慈院藏書區</v>
      </c>
      <c r="H50" t="str">
        <f>("學習資源組")</f>
        <v>學習資源組</v>
      </c>
    </row>
    <row r="51" spans="1:8">
      <c r="A51" t="str">
        <f>("D0005562")</f>
        <v>D0005562</v>
      </c>
      <c r="B51" t="str">
        <f>("健康自我管理:保健指引五十則/")</f>
        <v>健康自我管理:保健指引五十則/</v>
      </c>
      <c r="C51" t="str">
        <f>("林昌錦")</f>
        <v>林昌錦</v>
      </c>
      <c r="D51" t="str">
        <f>("慈濟文化,")</f>
        <v>慈濟文化,</v>
      </c>
      <c r="E51" t="str">
        <f>("411.1 8757 1993 c.2")</f>
        <v>411.1 8757 1993 c.2</v>
      </c>
      <c r="F51" t="str">
        <f>("1993")</f>
        <v>1993</v>
      </c>
      <c r="G51" t="str">
        <f>("大林慈院藏書區")</f>
        <v>大林慈院藏書區</v>
      </c>
    </row>
    <row r="52" spans="1:8">
      <c r="A52" t="str">
        <f>("D0007641")</f>
        <v>D0007641</v>
      </c>
      <c r="B52" t="str">
        <f>("如何寶貝你的身體 :40位臺大醫師的專業建議 /")</f>
        <v>如何寶貝你的身體 :40位臺大醫師的專業建議 /</v>
      </c>
      <c r="C52" t="str">
        <f>("陳維昭 ")</f>
        <v xml:space="preserve">陳維昭 </v>
      </c>
      <c r="D52" t="str">
        <f>("國立臺灣大學,")</f>
        <v>國立臺灣大學,</v>
      </c>
      <c r="E52" t="str">
        <f>("411.1 8765 2006")</f>
        <v>411.1 8765 2006</v>
      </c>
      <c r="F52" t="str">
        <f>("2006")</f>
        <v>2006</v>
      </c>
      <c r="G52" t="str">
        <f>("大林慈院藏書區")</f>
        <v>大林慈院藏書區</v>
      </c>
    </row>
    <row r="53" spans="1:8">
      <c r="A53" t="str">
        <f>("D0007503")</f>
        <v>D0007503</v>
      </c>
      <c r="B53" t="str">
        <f>("如何增強免疫力 : 從食補?藥補?氣補到禪修 / ")</f>
        <v xml:space="preserve">如何增強免疫力 : 從食補?藥補?氣補到禪修 / </v>
      </c>
      <c r="C53" t="str">
        <f>("孫安迪著")</f>
        <v>孫安迪著</v>
      </c>
      <c r="D53" t="str">
        <f>("美夢成真文化出版 : ;景德總經銷, ")</f>
        <v xml:space="preserve">美夢成真文化出版 : ;景德總經銷, </v>
      </c>
      <c r="E53" t="str">
        <f>("411.1 8768 1996")</f>
        <v>411.1 8768 1996</v>
      </c>
      <c r="F53" t="str">
        <f>("1996")</f>
        <v>1996</v>
      </c>
      <c r="G53" t="str">
        <f>("大林慈院藏書區")</f>
        <v>大林慈院藏書區</v>
      </c>
    </row>
    <row r="54" spans="1:8">
      <c r="A54" t="str">
        <f>("D0004746")</f>
        <v>D0004746</v>
      </c>
      <c r="B54" t="str">
        <f>("酒色材氣 /")</f>
        <v>酒色材氣 /</v>
      </c>
      <c r="C54" t="str">
        <f>("張步桃著 ")</f>
        <v xml:space="preserve">張步桃著 </v>
      </c>
      <c r="D54" t="str">
        <f>("九思出版,")</f>
        <v>九思出版,</v>
      </c>
      <c r="E54" t="str">
        <f>("411.1 8773 1996")</f>
        <v>411.1 8773 1996</v>
      </c>
      <c r="F54" t="str">
        <f>("1996")</f>
        <v>1996</v>
      </c>
      <c r="G54" t="str">
        <f>("大林慈院藏書區")</f>
        <v>大林慈院藏書區</v>
      </c>
    </row>
    <row r="55" spans="1:8">
      <c r="A55" t="str">
        <f>("D0007629")</f>
        <v>D0007629</v>
      </c>
      <c r="B55" t="str">
        <f>("張步桃的養生觀 /")</f>
        <v>張步桃的養生觀 /</v>
      </c>
      <c r="C55" t="str">
        <f>("張步桃 ")</f>
        <v xml:space="preserve">張步桃 </v>
      </c>
      <c r="D55" t="str">
        <f>("九思出版,")</f>
        <v>九思出版,</v>
      </c>
      <c r="E55" t="str">
        <f>("411.1 8773 2009")</f>
        <v>411.1 8773 2009</v>
      </c>
      <c r="F55" t="str">
        <f>("2009")</f>
        <v>2009</v>
      </c>
      <c r="G55" t="str">
        <f>("大林慈院藏書區")</f>
        <v>大林慈院藏書區</v>
      </c>
    </row>
    <row r="56" spans="1:8">
      <c r="A56" t="str">
        <f>("D0017051")</f>
        <v>D0017051</v>
      </c>
      <c r="B56" t="str">
        <f>("誇大不實的醫療迷思 :醫師教您如何分辨虛與實 /")</f>
        <v>誇大不實的醫療迷思 :醫師教您如何分辨虛與實 /</v>
      </c>
      <c r="C56" t="str">
        <f>("夏皮羅(Shapiro,Nina)著")</f>
        <v>夏皮羅(Shapiro,Nina)著</v>
      </c>
      <c r="D56" t="str">
        <f>("天下文化, ")</f>
        <v xml:space="preserve">天下文化, </v>
      </c>
      <c r="E56" t="str">
        <f>("411.1 8775 2022")</f>
        <v>411.1 8775 2022</v>
      </c>
      <c r="F56" t="str">
        <f>("2022")</f>
        <v>2022</v>
      </c>
      <c r="G56" t="str">
        <f>("大林慈院藏書區")</f>
        <v>大林慈院藏書區</v>
      </c>
    </row>
    <row r="57" spans="1:8">
      <c r="A57" t="str">
        <f>("D0016871")</f>
        <v>D0016871</v>
      </c>
      <c r="B57" t="str">
        <f>("時間醫學調理法 :免吃補就有精氣神，遠離三高、憂鬱、糖尿病 /")</f>
        <v>時間醫學調理法 :免吃補就有精氣神，遠離三高、憂鬱、糖尿病 /</v>
      </c>
      <c r="C57" t="str">
        <f>("大塚邦明著 ")</f>
        <v xml:space="preserve">大塚邦明著 </v>
      </c>
      <c r="D57" t="str">
        <f>("大是文化,")</f>
        <v>大是文化,</v>
      </c>
      <c r="E57" t="str">
        <f>("411.1 8777 2021")</f>
        <v>411.1 8777 2021</v>
      </c>
      <c r="F57" t="str">
        <f>("2021")</f>
        <v>2021</v>
      </c>
      <c r="G57" t="str">
        <f>("大林慈院藏書區")</f>
        <v>大林慈院藏書區</v>
      </c>
      <c r="H57" t="str">
        <f>("學習資源組")</f>
        <v>學習資源組</v>
      </c>
    </row>
    <row r="58" spans="1:8">
      <c r="A58" t="str">
        <f>("D0000848")</f>
        <v>D0000848</v>
      </c>
      <c r="B58" t="str">
        <f>("生活健康常識")</f>
        <v>生活健康常識</v>
      </c>
      <c r="C58" t="str">
        <f>("")</f>
        <v/>
      </c>
      <c r="D58" t="str">
        <f>("將門文物")</f>
        <v>將門文物</v>
      </c>
      <c r="E58" t="str">
        <f>("411.1 8789 1990")</f>
        <v>411.1 8789 1990</v>
      </c>
      <c r="F58" t="str">
        <f>("1990")</f>
        <v>1990</v>
      </c>
      <c r="G58" t="str">
        <f>("大林慈院藏書區")</f>
        <v>大林慈院藏書區</v>
      </c>
    </row>
    <row r="59" spans="1:8">
      <c r="A59" t="str">
        <f>("D0007182")</f>
        <v>D0007182</v>
      </c>
      <c r="B59" t="str">
        <f>("有效長生保健療法 /")</f>
        <v>有效長生保健療法 /</v>
      </c>
      <c r="C59" t="str">
        <f>("林健宏 ")</f>
        <v xml:space="preserve">林健宏 </v>
      </c>
      <c r="D59" t="str">
        <f>("翰揚文化出版,")</f>
        <v>翰揚文化出版,</v>
      </c>
      <c r="E59" t="str">
        <f>("411.1 8792 2000")</f>
        <v>411.1 8792 2000</v>
      </c>
      <c r="F59" t="str">
        <f>("2000")</f>
        <v>2000</v>
      </c>
      <c r="G59" t="str">
        <f>("大林慈院藏書區")</f>
        <v>大林慈院藏書區</v>
      </c>
    </row>
    <row r="60" spans="1:8">
      <c r="A60" t="str">
        <f>("D0017010")</f>
        <v>D0017010</v>
      </c>
      <c r="B60" t="str">
        <f>("運動比你想的還輕鬆 :終結惰性、突破限制的人性化運動 /")</f>
        <v>運動比你想的還輕鬆 :終結惰性、突破限制的人性化運動 /</v>
      </c>
      <c r="C60" t="str">
        <f>("陳俊忠.")</f>
        <v>陳俊忠.</v>
      </c>
      <c r="D60" t="str">
        <f>("原水文化,")</f>
        <v>原水文化,</v>
      </c>
      <c r="E60" t="str">
        <f>("411.1 8794 2022")</f>
        <v>411.1 8794 2022</v>
      </c>
      <c r="F60" t="str">
        <f>("2022")</f>
        <v>2022</v>
      </c>
      <c r="G60" t="str">
        <f>("大林慈院藏書區")</f>
        <v>大林慈院藏書區</v>
      </c>
      <c r="H60" t="str">
        <f>("學習資源組")</f>
        <v>學習資源組</v>
      </c>
    </row>
    <row r="61" spans="1:8">
      <c r="A61" t="str">
        <f>("D0009992")</f>
        <v>D0009992</v>
      </c>
      <c r="B61" t="str">
        <f>("親密愛人需要你疼惜 : 脊椎與血液 / ")</f>
        <v xml:space="preserve">親密愛人需要你疼惜 : 脊椎與血液 / </v>
      </c>
      <c r="C61" t="str">
        <f>("吳珮琪著")</f>
        <v>吳珮琪著</v>
      </c>
      <c r="D61" t="str">
        <f>("世潮, ")</f>
        <v xml:space="preserve">世潮, </v>
      </c>
      <c r="E61" t="str">
        <f>("411.1 8853 2000")</f>
        <v>411.1 8853 2000</v>
      </c>
      <c r="F61" t="str">
        <f>("2000")</f>
        <v>2000</v>
      </c>
      <c r="G61" t="str">
        <f>("大林慈院藏書區")</f>
        <v>大林慈院藏書區</v>
      </c>
    </row>
    <row r="62" spans="1:8">
      <c r="A62" t="str">
        <f>("D0005040")</f>
        <v>D0005040</v>
      </c>
      <c r="B62" t="str">
        <f>("臺灣地區民國九十一年國民健康促進知識、態度與行為調查")</f>
        <v>臺灣地區民國九十一年國民健康促進知識、態度與行為調查</v>
      </c>
      <c r="C62" t="str">
        <f>("")</f>
        <v/>
      </c>
      <c r="D62" t="str">
        <f>("行政院衛生署國民健康局")</f>
        <v>行政院衛生署國民健康局</v>
      </c>
      <c r="E62" t="str">
        <f>("411.1026 8736 2003 v.1")</f>
        <v>411.1026 8736 2003 v.1</v>
      </c>
      <c r="F62" t="str">
        <f>("2003")</f>
        <v>2003</v>
      </c>
      <c r="G62" t="str">
        <f>("大林慈院藏書區")</f>
        <v>大林慈院藏書區</v>
      </c>
    </row>
    <row r="63" spans="1:8">
      <c r="A63" t="str">
        <f>("D0005041")</f>
        <v>D0005041</v>
      </c>
      <c r="B63" t="str">
        <f>("臺灣地區民國九十一年國民健康促進知識、態度與行為調查")</f>
        <v>臺灣地區民國九十一年國民健康促進知識、態度與行為調查</v>
      </c>
      <c r="C63" t="str">
        <f>("")</f>
        <v/>
      </c>
      <c r="D63" t="str">
        <f>("行政院衛生署國民健康局")</f>
        <v>行政院衛生署國民健康局</v>
      </c>
      <c r="E63" t="str">
        <f>("411.1026 8736 2003 v.2")</f>
        <v>411.1026 8736 2003 v.2</v>
      </c>
      <c r="F63" t="str">
        <f>("2003")</f>
        <v>2003</v>
      </c>
      <c r="G63" t="str">
        <f>("大林慈院藏書區")</f>
        <v>大林慈院藏書區</v>
      </c>
    </row>
    <row r="64" spans="1:8">
      <c r="A64" t="str">
        <f>("D0013283")</f>
        <v>D0013283</v>
      </c>
      <c r="B64" t="str">
        <f>("養生之道 / ")</f>
        <v xml:space="preserve">養生之道 / </v>
      </c>
      <c r="C64" t="str">
        <f>("李丹(Reid, Daniel P., 1948-) ")</f>
        <v xml:space="preserve">李丹(Reid, Daniel P., 1948-) </v>
      </c>
      <c r="D64" t="str">
        <f>("家庭傳媒城邦分公司發行, ;相映文化出版 : ")</f>
        <v xml:space="preserve">家庭傳媒城邦分公司發行, ;相映文化出版 : </v>
      </c>
      <c r="E64" t="str">
        <f>("411.11 846 2005")</f>
        <v>411.11 846 2005</v>
      </c>
      <c r="F64" t="str">
        <f>("2005")</f>
        <v>2005</v>
      </c>
      <c r="G64" t="str">
        <f>("大林慈院藏書區")</f>
        <v>大林慈院藏書區</v>
      </c>
    </row>
    <row r="65" spans="1:8">
      <c r="A65" t="str">
        <f>("D0006048")</f>
        <v>D0006048</v>
      </c>
      <c r="B65" t="str">
        <f>("中國氣功健康法 /")</f>
        <v>中國氣功健康法 /</v>
      </c>
      <c r="C65" t="str">
        <f>("")</f>
        <v/>
      </c>
      <c r="D65" t="str">
        <f>("信宏 ")</f>
        <v xml:space="preserve">信宏 </v>
      </c>
      <c r="E65" t="str">
        <f>("411.12 8445 2002")</f>
        <v>411.12 8445 2002</v>
      </c>
      <c r="F65" t="str">
        <f>("2002")</f>
        <v>2002</v>
      </c>
      <c r="G65" t="str">
        <f>("大林慈院藏書區")</f>
        <v>大林慈院藏書區</v>
      </c>
    </row>
    <row r="66" spans="1:8">
      <c r="A66" t="str">
        <f>("D0007206")</f>
        <v>D0007206</v>
      </c>
      <c r="B66" t="str">
        <f>("李鳳山上班族養生之道 /")</f>
        <v>李鳳山上班族養生之道 /</v>
      </c>
      <c r="C66" t="str">
        <f>("李鳳山 ")</f>
        <v xml:space="preserve">李鳳山 </v>
      </c>
      <c r="D66" t="str">
        <f>("商周出版,")</f>
        <v>商周出版,</v>
      </c>
      <c r="E66" t="str">
        <f>("411.12 8456 2002")</f>
        <v>411.12 8456 2002</v>
      </c>
      <c r="F66" t="str">
        <f>("2002")</f>
        <v>2002</v>
      </c>
      <c r="G66" t="str">
        <f>("大林慈院藏書區")</f>
        <v>大林慈院藏書區</v>
      </c>
    </row>
    <row r="67" spans="1:8">
      <c r="A67" t="str">
        <f>("D0007155")</f>
        <v>D0007155</v>
      </c>
      <c r="B67" t="str">
        <f>("治病養生氣功圖解")</f>
        <v>治病養生氣功圖解</v>
      </c>
      <c r="C67" t="str">
        <f>("")</f>
        <v/>
      </c>
      <c r="D67" t="str">
        <f>("天龍")</f>
        <v>天龍</v>
      </c>
      <c r="E67" t="str">
        <f>("411.12 846 1989")</f>
        <v>411.12 846 1989</v>
      </c>
      <c r="F67" t="str">
        <f>("1989")</f>
        <v>1989</v>
      </c>
      <c r="G67" t="str">
        <f>("大林慈院藏書區")</f>
        <v>大林慈院藏書區</v>
      </c>
    </row>
    <row r="68" spans="1:8">
      <c r="A68" t="str">
        <f>("D0007295")</f>
        <v>D0007295</v>
      </c>
      <c r="B68" t="str">
        <f>("中國氣功健身法 /")</f>
        <v>中國氣功健身法 /</v>
      </c>
      <c r="C68" t="str">
        <f>("廖赤虹 ")</f>
        <v xml:space="preserve">廖赤虹 </v>
      </c>
      <c r="D68" t="str">
        <f>("禾揚,")</f>
        <v>禾揚,</v>
      </c>
      <c r="E68" t="str">
        <f>("411.12 8535 1997")</f>
        <v>411.12 8535 1997</v>
      </c>
      <c r="F68" t="str">
        <f>("1997")</f>
        <v>1997</v>
      </c>
      <c r="G68" t="str">
        <f>("大林慈院藏書區")</f>
        <v>大林慈院藏書區</v>
      </c>
    </row>
    <row r="69" spans="1:8">
      <c r="A69" t="str">
        <f>("D0003688")</f>
        <v>D0003688</v>
      </c>
      <c r="B69" t="str">
        <f>("氣功抗癌實錄 /")</f>
        <v>氣功抗癌實錄 /</v>
      </c>
      <c r="C69" t="str">
        <f>("余雪鴻著 ")</f>
        <v xml:space="preserve">余雪鴻著 </v>
      </c>
      <c r="D69" t="str">
        <f>("水月文化,")</f>
        <v>水月文化,</v>
      </c>
      <c r="E69" t="str">
        <f>("411.12 8542 1999")</f>
        <v>411.12 8542 1999</v>
      </c>
      <c r="F69" t="str">
        <f>("1999")</f>
        <v>1999</v>
      </c>
      <c r="G69" t="str">
        <f>("大林慈院藏書區")</f>
        <v>大林慈院藏書區</v>
      </c>
    </row>
    <row r="70" spans="1:8">
      <c r="A70" t="str">
        <f>("D0007017")</f>
        <v>D0007017</v>
      </c>
      <c r="B70" t="str">
        <f>("氣功自然療法 /")</f>
        <v>氣功自然療法 /</v>
      </c>
      <c r="C70" t="str">
        <f>("星野稔 ")</f>
        <v xml:space="preserve">星野稔 </v>
      </c>
      <c r="D70" t="str">
        <f>("創意力,")</f>
        <v>創意力,</v>
      </c>
      <c r="E70" t="str">
        <f>("411.12 8565 1999")</f>
        <v>411.12 8565 1999</v>
      </c>
      <c r="F70" t="str">
        <f>("1999")</f>
        <v>1999</v>
      </c>
      <c r="G70" t="str">
        <f>("大林慈院藏書區")</f>
        <v>大林慈院藏書區</v>
      </c>
    </row>
    <row r="71" spans="1:8">
      <c r="A71" t="str">
        <f>("D0010946")</f>
        <v>D0010946</v>
      </c>
      <c r="B71" t="str">
        <f>("癌症病友康復新路 :怎樣練好郭林氣功 /")</f>
        <v>癌症病友康復新路 :怎樣練好郭林氣功 /</v>
      </c>
      <c r="C71" t="str">
        <f>("于大元 ;何開芳 ;孫雲彩 ;計育興 ;黃可成 ")</f>
        <v xml:space="preserve">于大元 ;何開芳 ;孫雲彩 ;計育興 ;黃可成 </v>
      </c>
      <c r="D71" t="str">
        <f>("中華郭林新氣功學會,")</f>
        <v>中華郭林新氣功學會,</v>
      </c>
      <c r="E71" t="str">
        <f>("411.12 8575 2000")</f>
        <v>411.12 8575 2000</v>
      </c>
      <c r="F71" t="str">
        <f>("2000")</f>
        <v>2000</v>
      </c>
      <c r="G71" t="str">
        <f>("大林慈院藏書區")</f>
        <v>大林慈院藏書區</v>
      </c>
    </row>
    <row r="72" spans="1:8">
      <c r="A72" t="str">
        <f>("D0014901")</f>
        <v>D0014901</v>
      </c>
      <c r="B72" t="str">
        <f>("在家就能輕鬆做的無痛瑜珈 :輕.鬆.軟只要15招! 消除僵硬痠痛, 增強免疫力, 人人做得來的超簡單溫和瑜珈 /")</f>
        <v>在家就能輕鬆做的無痛瑜珈 :輕.鬆.軟只要15招! 消除僵硬痠痛, 增強免疫力, 人人做得來的超簡單溫和瑜珈 /</v>
      </c>
      <c r="C72" t="str">
        <f>(", 松本著 ")</f>
        <v xml:space="preserve">, 松本著 </v>
      </c>
      <c r="D72" t="str">
        <f>("春光出版 :;家庭傳媒城邦發行,")</f>
        <v>春光出版 :;家庭傳媒城邦發行,</v>
      </c>
      <c r="E72" t="str">
        <f>("411.15 834 2016")</f>
        <v>411.15 834 2016</v>
      </c>
      <c r="F72" t="str">
        <f>("2016")</f>
        <v>2016</v>
      </c>
      <c r="G72" t="str">
        <f>("大林慈院藏書區")</f>
        <v>大林慈院藏書區</v>
      </c>
      <c r="H72" t="str">
        <f>("學習資源組 ")</f>
        <v xml:space="preserve">學習資源組 </v>
      </c>
    </row>
    <row r="73" spans="1:8">
      <c r="A73" t="str">
        <f>("D0000876")</f>
        <v>D0000876</v>
      </c>
      <c r="B73" t="str">
        <f>("怎樣學靜坐")</f>
        <v>怎樣學靜坐</v>
      </c>
      <c r="C73" t="str">
        <f>("")</f>
        <v/>
      </c>
      <c r="D73" t="str">
        <f>("佛教慈濟文化服務中心")</f>
        <v>佛教慈濟文化服務中心</v>
      </c>
      <c r="E73" t="str">
        <f>("411.15 8359 1988")</f>
        <v>411.15 8359 1988</v>
      </c>
      <c r="F73" t="str">
        <f>("1988")</f>
        <v>1988</v>
      </c>
      <c r="G73" t="str">
        <f>("大林慈院藏書區")</f>
        <v>大林慈院藏書區</v>
      </c>
    </row>
    <row r="74" spans="1:8">
      <c r="A74" t="str">
        <f>("D0007887")</f>
        <v>D0007887</v>
      </c>
      <c r="B74" t="str">
        <f>("瑜伽治百病/")</f>
        <v>瑜伽治百病/</v>
      </c>
      <c r="C74" t="str">
        <f>("黃墩嚴")</f>
        <v>黃墩嚴</v>
      </c>
      <c r="D74" t="str">
        <f>("瑞昇文化,")</f>
        <v>瑞昇文化,</v>
      </c>
      <c r="E74" t="str">
        <f>("411.15 8378 1989")</f>
        <v>411.15 8378 1989</v>
      </c>
      <c r="F74" t="str">
        <f>("1989")</f>
        <v>1989</v>
      </c>
      <c r="G74" t="str">
        <f>("大林慈院藏書區")</f>
        <v>大林慈院藏書區</v>
      </c>
    </row>
    <row r="75" spans="1:8">
      <c r="A75" t="str">
        <f>("D0006675")</f>
        <v>D0006675</v>
      </c>
      <c r="B75" t="str">
        <f>("健康有效的初學者瑜珈入門 /")</f>
        <v>健康有效的初學者瑜珈入門 /</v>
      </c>
      <c r="C75" t="str">
        <f>("朴勝泰 ")</f>
        <v xml:space="preserve">朴勝泰 </v>
      </c>
      <c r="D75" t="str">
        <f>("漢宇國際文化,")</f>
        <v>漢宇國際文化,</v>
      </c>
      <c r="E75" t="str">
        <f>("411.15 8383 2005")</f>
        <v>411.15 8383 2005</v>
      </c>
      <c r="F75" t="str">
        <f>("2005")</f>
        <v>2005</v>
      </c>
      <c r="G75" t="str">
        <f>("大林慈院藏書區")</f>
        <v>大林慈院藏書區</v>
      </c>
      <c r="H75" t="str">
        <f>("瑜伽社")</f>
        <v>瑜伽社</v>
      </c>
    </row>
    <row r="76" spans="1:8">
      <c r="A76" t="str">
        <f>("D0015770")</f>
        <v>D0015770</v>
      </c>
      <c r="B76" t="str">
        <f>("情緒排毒 : 50組呼吸伸展練習，疏通人體七大能量中心，找回自信心、安全感、行動力 / ")</f>
        <v xml:space="preserve">情緒排毒 : 50組呼吸伸展練習，疏通人體七大能量中心，找回自信心、安全感、行動力 / </v>
      </c>
      <c r="C76" t="str">
        <f>("王羽暄 ")</f>
        <v xml:space="preserve">王羽暄 </v>
      </c>
      <c r="D76" t="str">
        <f>("采實, ")</f>
        <v xml:space="preserve">采實, </v>
      </c>
      <c r="E76" t="str">
        <f>("411.15 8445 2017")</f>
        <v>411.15 8445 2017</v>
      </c>
      <c r="F76" t="str">
        <f>("2017")</f>
        <v>2017</v>
      </c>
      <c r="G76" t="str">
        <f>("大林慈院藏書區")</f>
        <v>大林慈院藏書區</v>
      </c>
      <c r="H76" t="str">
        <f>("學習資源組")</f>
        <v>學習資源組</v>
      </c>
    </row>
    <row r="77" spans="1:8">
      <c r="A77" t="str">
        <f>("D0016782")</f>
        <v>D0016782</v>
      </c>
      <c r="B77" t="str">
        <f>("改變人生的冥想習慣 :每天3分鐘練習, 找回自癒力, 看見強大的變化 /")</f>
        <v>改變人生的冥想習慣 :每天3分鐘練習, 找回自癒力, 看見強大的變化 /</v>
      </c>
      <c r="C77" t="str">
        <f>("加藤史子")</f>
        <v>加藤史子</v>
      </c>
      <c r="D77" t="str">
        <f>("遠足文化發行,;幸福文化出版 :")</f>
        <v>遠足文化發行,;幸福文化出版 :</v>
      </c>
      <c r="E77" t="str">
        <f>("411.15 8448 2021")</f>
        <v>411.15 8448 2021</v>
      </c>
      <c r="F77" t="str">
        <f>("2021")</f>
        <v>2021</v>
      </c>
      <c r="G77" t="str">
        <f>("大林慈院藏書區")</f>
        <v>大林慈院藏書區</v>
      </c>
      <c r="H77" t="str">
        <f>("學習資源組")</f>
        <v>學習資源組</v>
      </c>
    </row>
    <row r="78" spans="1:8">
      <c r="A78" t="str">
        <f>("D0012839")</f>
        <v>D0012839</v>
      </c>
      <c r="B78" t="str">
        <f>("瘦手臂香肩美人瑜伽操 :甩肚肉.手臂粗.腰酸背痛,從&lt;肩胛骨運動&gt;開始! /")</f>
        <v>瘦手臂香肩美人瑜伽操 :甩肚肉.手臂粗.腰酸背痛,從&lt;肩胛骨運動&gt;開始! /</v>
      </c>
      <c r="C78" t="str">
        <f>("羽暄")</f>
        <v>羽暄</v>
      </c>
      <c r="D78" t="str">
        <f>("采實文化,")</f>
        <v>采實文化,</v>
      </c>
      <c r="E78" t="str">
        <f>("411.15 845 2011")</f>
        <v>411.15 845 2011</v>
      </c>
      <c r="F78" t="str">
        <f>("2011")</f>
        <v>2011</v>
      </c>
      <c r="G78" t="str">
        <f>("大林慈院藏書區")</f>
        <v>大林慈院藏書區</v>
      </c>
    </row>
    <row r="79" spans="1:8">
      <c r="A79" t="str">
        <f>("D0016150")</f>
        <v>D0016150</v>
      </c>
      <c r="B79" t="str">
        <f>("瑜伽瘦身美容分步圖解/")</f>
        <v>瑜伽瘦身美容分步圖解/</v>
      </c>
      <c r="C79" t="str">
        <f>("好生活百事通編委會")</f>
        <v>好生活百事通編委會</v>
      </c>
      <c r="D79" t="str">
        <f>("中國紡織出版社,")</f>
        <v>中國紡織出版社,</v>
      </c>
      <c r="E79" t="str">
        <f>("411.15 8463 2011")</f>
        <v>411.15 8463 2011</v>
      </c>
      <c r="F79" t="str">
        <f>("2011")</f>
        <v>2011</v>
      </c>
      <c r="G79" t="str">
        <f>("大林慈院藏書區")</f>
        <v>大林慈院藏書區</v>
      </c>
    </row>
    <row r="80" spans="1:8">
      <c r="A80" t="str">
        <f>("D0016244")</f>
        <v>D0016244</v>
      </c>
      <c r="B80" t="str">
        <f>("圖解7種不被情緒綁架的煩惱整理術 / ")</f>
        <v xml:space="preserve">圖解7種不被情緒綁架的煩惱整理術 / </v>
      </c>
      <c r="C80" t="str">
        <f>("有光興記監修 ;胡恆穎譯 ")</f>
        <v xml:space="preserve">有光興記監修 ;胡恆穎譯 </v>
      </c>
      <c r="D80" t="str">
        <f>("今周刊, ")</f>
        <v xml:space="preserve">今周刊, </v>
      </c>
      <c r="E80" t="str">
        <f>("411.15 8464 2018")</f>
        <v>411.15 8464 2018</v>
      </c>
      <c r="F80" t="str">
        <f>("2018")</f>
        <v>2018</v>
      </c>
      <c r="G80" t="str">
        <f>("大林慈院藏書區")</f>
        <v>大林慈院藏書區</v>
      </c>
      <c r="H80" t="str">
        <f>("學習資源組")</f>
        <v>學習資源組</v>
      </c>
    </row>
    <row r="81" spans="1:8">
      <c r="A81" t="str">
        <f>("D0000856")</f>
        <v>D0000856</v>
      </c>
      <c r="B81" t="str">
        <f>("因是子靜坐法 /")</f>
        <v>因是子靜坐法 /</v>
      </c>
      <c r="C81" t="str">
        <f>("蔣維喬 ")</f>
        <v xml:space="preserve">蔣維喬 </v>
      </c>
      <c r="D81" t="str">
        <f>("圓明出版,")</f>
        <v>圓明出版,</v>
      </c>
      <c r="E81" t="str">
        <f>("411.15 8466 1990")</f>
        <v>411.15 8466 1990</v>
      </c>
      <c r="F81" t="str">
        <f>("1990")</f>
        <v>1990</v>
      </c>
      <c r="G81" t="str">
        <f>("大林慈院藏書區")</f>
        <v>大林慈院藏書區</v>
      </c>
    </row>
    <row r="82" spans="1:8">
      <c r="A82" t="str">
        <f>("D0014141")</f>
        <v>D0014141</v>
      </c>
      <c r="B82" t="str">
        <f>("丁寧的孕媽咪瑜珈 / ")</f>
        <v xml:space="preserve">丁寧的孕媽咪瑜珈 / </v>
      </c>
      <c r="C82" t="str">
        <f>("丁寧")</f>
        <v>丁寧</v>
      </c>
      <c r="D82" t="str">
        <f>("活泉書坊, ")</f>
        <v xml:space="preserve">活泉書坊, </v>
      </c>
      <c r="E82" t="str">
        <f>("411.15 854 2010")</f>
        <v>411.15 854 2010</v>
      </c>
      <c r="F82" t="str">
        <f>("2010")</f>
        <v>2010</v>
      </c>
      <c r="G82" t="str">
        <f>("大林慈院藏書區")</f>
        <v>大林慈院藏書區</v>
      </c>
    </row>
    <row r="83" spans="1:8">
      <c r="A83" t="str">
        <f>("D0010992")</f>
        <v>D0010992</v>
      </c>
      <c r="B83" t="str">
        <f>("和自己對話 :冥想解壓療法 /")</f>
        <v>和自己對話 :冥想解壓療法 /</v>
      </c>
      <c r="C83" t="str">
        <f>("賴維(Levy, Jodi) ")</f>
        <v xml:space="preserve">賴維(Levy, Jodi) </v>
      </c>
      <c r="D83" t="str">
        <f>("晨星出版,")</f>
        <v>晨星出版,</v>
      </c>
      <c r="E83" t="str">
        <f>("411.15 8555 2000")</f>
        <v>411.15 8555 2000</v>
      </c>
      <c r="F83" t="str">
        <f>("2000")</f>
        <v>2000</v>
      </c>
      <c r="G83" t="str">
        <f>("大林慈院藏書區")</f>
        <v>大林慈院藏書區</v>
      </c>
    </row>
    <row r="84" spans="1:8">
      <c r="A84" t="str">
        <f>("D0006637")</f>
        <v>D0006637</v>
      </c>
      <c r="B84" t="str">
        <f>("動 瑜珈 :融合瑜珈、彼拉提斯、舞蹈元素的複合式有氧運動 /")</f>
        <v>動 瑜珈 :融合瑜珈、彼拉提斯、舞蹈元素的複合式有氧運動 /</v>
      </c>
      <c r="C84" t="str">
        <f>("于文蕙著 ")</f>
        <v xml:space="preserve">于文蕙著 </v>
      </c>
      <c r="D84" t="str">
        <f>("相映文化出版,")</f>
        <v>相映文化出版,</v>
      </c>
      <c r="E84" t="str">
        <f>("411.15 8564 2005")</f>
        <v>411.15 8564 2005</v>
      </c>
      <c r="F84" t="str">
        <f>("2005")</f>
        <v>2005</v>
      </c>
      <c r="G84" t="str">
        <f>("大林慈院藏書區")</f>
        <v>大林慈院藏書區</v>
      </c>
      <c r="H84" t="str">
        <f>("瑜伽社")</f>
        <v>瑜伽社</v>
      </c>
    </row>
    <row r="85" spans="1:8">
      <c r="A85" t="str">
        <f>("D0005915")</f>
        <v>D0005915</v>
      </c>
      <c r="B85" t="str">
        <f>("漂亮．YOGA /")</f>
        <v>漂亮．YOGA /</v>
      </c>
      <c r="C85" t="str">
        <f>("堂娜 ")</f>
        <v xml:space="preserve">堂娜 </v>
      </c>
      <c r="D85" t="str">
        <f>("如何,")</f>
        <v>如何,</v>
      </c>
      <c r="E85" t="str">
        <f>("411.15 857 2003")</f>
        <v>411.15 857 2003</v>
      </c>
      <c r="F85" t="str">
        <f>("2003")</f>
        <v>2003</v>
      </c>
      <c r="G85" t="str">
        <f>("大林慈院藏書區")</f>
        <v>大林慈院藏書區</v>
      </c>
    </row>
    <row r="86" spans="1:8">
      <c r="A86" t="str">
        <f>("D0013519")</f>
        <v>D0013519</v>
      </c>
      <c r="B86" t="str">
        <f>("瑜伽運動治療 :徒手治療師之實用指引 /")</f>
        <v>瑜伽運動治療 :徒手治療師之實用指引 /</v>
      </c>
      <c r="C86" t="str">
        <f>("沃利(Worle, Luise) ")</f>
        <v xml:space="preserve">沃利(Worle, Luise) </v>
      </c>
      <c r="D86" t="str">
        <f>("臺灣愛思唯爾,")</f>
        <v>臺灣愛思唯爾,</v>
      </c>
      <c r="E86" t="str">
        <f>("411.15 867 2013")</f>
        <v>411.15 867 2013</v>
      </c>
      <c r="F86" t="str">
        <f>("2013")</f>
        <v>2013</v>
      </c>
      <c r="G86" t="str">
        <f>("大林慈院藏書區")</f>
        <v>大林慈院藏書區</v>
      </c>
      <c r="H86" t="str">
        <f>("復健科")</f>
        <v>復健科</v>
      </c>
    </row>
    <row r="87" spans="1:8">
      <c r="A87" t="str">
        <f>("D0014912")</f>
        <v>D0014912</v>
      </c>
      <c r="B87" t="str">
        <f>("簡易瑜伽教你瘦全身 / ")</f>
        <v xml:space="preserve">簡易瑜伽教你瘦全身 / </v>
      </c>
      <c r="C87" t="str">
        <f>("曲影著 ")</f>
        <v xml:space="preserve">曲影著 </v>
      </c>
      <c r="D87" t="str">
        <f>("人類智庫出版 : ;人類文化代理發行, ")</f>
        <v xml:space="preserve">人類智庫出版 : ;人類文化代理發行, </v>
      </c>
      <c r="E87" t="str">
        <f>("411.15 867:2 2014")</f>
        <v>411.15 867:2 2014</v>
      </c>
      <c r="F87" t="str">
        <f>("2014")</f>
        <v>2014</v>
      </c>
      <c r="G87" t="str">
        <f>("大林慈院藏書區")</f>
        <v>大林慈院藏書區</v>
      </c>
    </row>
    <row r="88" spans="1:8">
      <c r="A88" t="str">
        <f>("D0012838")</f>
        <v>D0012838</v>
      </c>
      <c r="B88" t="str">
        <f>("瑜伽整脊小百科/")</f>
        <v>瑜伽整脊小百科/</v>
      </c>
      <c r="C88" t="str">
        <f>("陳玉芬")</f>
        <v>陳玉芬</v>
      </c>
      <c r="D88" t="str">
        <f>("相映文化,")</f>
        <v>相映文化,</v>
      </c>
      <c r="E88" t="str">
        <f>("411.15 8737 2006")</f>
        <v>411.15 8737 2006</v>
      </c>
      <c r="F88" t="str">
        <f>("2006")</f>
        <v>2006</v>
      </c>
      <c r="G88" t="str">
        <f>("大林慈院藏書區")</f>
        <v>大林慈院藏書區</v>
      </c>
    </row>
    <row r="89" spans="1:8">
      <c r="A89" t="str">
        <f>("D0008211")</f>
        <v>D0008211</v>
      </c>
      <c r="B89" t="str">
        <f>("瑜伽療法與自然藥方 /")</f>
        <v>瑜伽療法與自然藥方 /</v>
      </c>
      <c r="C89" t="str">
        <f>("Shrii P. R. Sarkar著 ")</f>
        <v xml:space="preserve">Shrii P. R. Sarkar著 </v>
      </c>
      <c r="D89" t="str">
        <f>("阿南達瑪迦出版社,")</f>
        <v>阿南達瑪迦出版社,</v>
      </c>
      <c r="E89" t="str">
        <f>("411.15 8743 1996")</f>
        <v>411.15 8743 1996</v>
      </c>
      <c r="F89" t="str">
        <f>("1996")</f>
        <v>1996</v>
      </c>
      <c r="G89" t="str">
        <f>("大林慈院藏書區")</f>
        <v>大林慈院藏書區</v>
      </c>
    </row>
    <row r="90" spans="1:8">
      <c r="A90" t="str">
        <f>("D0014913")</f>
        <v>D0014913</v>
      </c>
      <c r="B90" t="str">
        <f>("隨時隨地首選彼拉提斯/")</f>
        <v>隨時隨地首選彼拉提斯/</v>
      </c>
      <c r="C90" t="str">
        <f>("陳雪梅")</f>
        <v>陳雪梅</v>
      </c>
      <c r="D90" t="str">
        <f>("萬源圖書,")</f>
        <v>萬源圖書,</v>
      </c>
      <c r="E90" t="str">
        <f>("411.15 8743:2 2007")</f>
        <v>411.15 8743:2 2007</v>
      </c>
      <c r="F90" t="str">
        <f>("2007")</f>
        <v>2007</v>
      </c>
      <c r="G90" t="str">
        <f>("大林慈院藏書區")</f>
        <v>大林慈院藏書區</v>
      </c>
    </row>
    <row r="91" spans="1:8">
      <c r="A91" t="str">
        <f>("D0000858")</f>
        <v>D0000858</v>
      </c>
      <c r="B91" t="str">
        <f>("靜坐要義")</f>
        <v>靜坐要義</v>
      </c>
      <c r="C91" t="str">
        <f>("")</f>
        <v/>
      </c>
      <c r="D91" t="str">
        <f>("帝教")</f>
        <v>帝教</v>
      </c>
      <c r="E91" t="str">
        <f>("411.15 8747 1991")</f>
        <v>411.15 8747 1991</v>
      </c>
      <c r="F91" t="str">
        <f>("1991")</f>
        <v>1991</v>
      </c>
      <c r="G91" t="str">
        <f>("大林慈院藏書區")</f>
        <v>大林慈院藏書區</v>
      </c>
    </row>
    <row r="92" spans="1:8">
      <c r="A92" t="str">
        <f>("D0016553")</f>
        <v>D0016553</v>
      </c>
      <c r="B92" t="str">
        <f>("瑜伽科學解析 : 從解剖學與生理學的角度深入學習 / ")</f>
        <v xml:space="preserve">瑜伽科學解析 : 從解剖學與生理學的角度深入學習 / </v>
      </c>
      <c r="C92" t="str">
        <f>("史望森(Swanson, Ann)作")</f>
        <v>史望森(Swanson, Ann)作</v>
      </c>
      <c r="D92" t="str">
        <f>("旗標, ")</f>
        <v xml:space="preserve">旗標, </v>
      </c>
      <c r="E92" t="str">
        <f>("411.15 8837 2019")</f>
        <v>411.15 8837 2019</v>
      </c>
      <c r="F92" t="str">
        <f>("2019")</f>
        <v>2019</v>
      </c>
      <c r="G92" t="str">
        <f>("大林慈院藏書區")</f>
        <v>大林慈院藏書區</v>
      </c>
      <c r="H92" t="str">
        <f>("職業醫學科")</f>
        <v>職業醫學科</v>
      </c>
    </row>
    <row r="93" spans="1:8">
      <c r="A93" t="str">
        <f>("D0003693")</f>
        <v>D0003693</v>
      </c>
      <c r="B93" t="str">
        <f>("邁向健康長壽之道 /")</f>
        <v>邁向健康長壽之道 /</v>
      </c>
      <c r="C93" t="str">
        <f>("古守豊甫 ")</f>
        <v xml:space="preserve">古守豊甫 </v>
      </c>
      <c r="D93" t="str">
        <f>("青春,")</f>
        <v>青春,</v>
      </c>
      <c r="E93" t="str">
        <f>("411.18 8425 1997")</f>
        <v>411.18 8425 1997</v>
      </c>
      <c r="F93" t="str">
        <f>("1997")</f>
        <v>1997</v>
      </c>
      <c r="G93" t="str">
        <f>("大林慈院藏書區")</f>
        <v>大林慈院藏書區</v>
      </c>
    </row>
    <row r="94" spans="1:8">
      <c r="A94" t="str">
        <f>("D0007252")</f>
        <v>D0007252</v>
      </c>
      <c r="B94" t="str">
        <f>("養生寶典 /")</f>
        <v>養生寶典 /</v>
      </c>
      <c r="C94" t="str">
        <f>("李連方 ")</f>
        <v xml:space="preserve">李連方 </v>
      </c>
      <c r="D94" t="str">
        <f>("禾揚出版,")</f>
        <v>禾揚出版,</v>
      </c>
      <c r="E94" t="str">
        <f>("411.18 8443 1997")</f>
        <v>411.18 8443 1997</v>
      </c>
      <c r="F94" t="str">
        <f>("1997")</f>
        <v>1997</v>
      </c>
      <c r="G94" t="str">
        <f>("大林慈院藏書區")</f>
        <v>大林慈院藏書區</v>
      </c>
    </row>
    <row r="95" spans="1:8">
      <c r="A95" t="str">
        <f>("D0011939")</f>
        <v>D0011939</v>
      </c>
      <c r="B95" t="str">
        <f>("抗衰老,更年輕 /")</f>
        <v>抗衰老,更年輕 /</v>
      </c>
      <c r="C95" t="str">
        <f>("克羅利(Crowley, Chris) ")</f>
        <v xml:space="preserve">克羅利(Crowley, Chris) </v>
      </c>
      <c r="D95" t="str">
        <f>("日月文化出版,")</f>
        <v>日月文化出版,</v>
      </c>
      <c r="E95" t="str">
        <f>("411.18 8557 2007")</f>
        <v>411.18 8557 2007</v>
      </c>
      <c r="F95" t="str">
        <f>("2007")</f>
        <v>2007</v>
      </c>
      <c r="G95" t="str">
        <f>("大林慈院藏書區")</f>
        <v>大林慈院藏書區</v>
      </c>
    </row>
    <row r="96" spans="1:8">
      <c r="A96" t="str">
        <f>("D0000126")</f>
        <v>D0000126</v>
      </c>
      <c r="B96" t="str">
        <f>("真的不會老 :抗老醫學最新突破 /")</f>
        <v>真的不會老 :抗老醫學最新突破 /</v>
      </c>
      <c r="C96" t="str">
        <f>("米勒(Miller, Philip Lee) ")</f>
        <v xml:space="preserve">米勒(Miller, Philip Lee) </v>
      </c>
      <c r="D96" t="str">
        <f>("天下雜誌出版,")</f>
        <v>天下雜誌出版,</v>
      </c>
      <c r="E96" t="str">
        <f>("411.18 866 2008")</f>
        <v>411.18 866 2008</v>
      </c>
      <c r="F96" t="str">
        <f>("2008")</f>
        <v>2008</v>
      </c>
      <c r="G96" t="str">
        <f>("大林慈院藏書區")</f>
        <v>大林慈院藏書區</v>
      </c>
    </row>
    <row r="97" spans="1:8">
      <c r="A97" t="str">
        <f>("D0013173")</f>
        <v>D0013173</v>
      </c>
      <c r="B97" t="str">
        <f>("不為小事抓狂的50個練習 :大腦決定你的「度量」，增加「腦容量」，脾氣一定會變好！ /")</f>
        <v>不為小事抓狂的50個練習 :大腦決定你的「度量」，增加「腦容量」，脾氣一定會變好！ /</v>
      </c>
      <c r="C97" t="str">
        <f>("西多昌規 ")</f>
        <v xml:space="preserve">西多昌規 </v>
      </c>
      <c r="D97" t="str">
        <f>("采實文化,")</f>
        <v>采實文化,</v>
      </c>
      <c r="E97" t="str">
        <f>("411.19 8455 2013")</f>
        <v>411.19 8455 2013</v>
      </c>
      <c r="F97" t="str">
        <f>("2013")</f>
        <v>2013</v>
      </c>
      <c r="G97" t="str">
        <f>("大林慈院藏書區")</f>
        <v>大林慈院藏書區</v>
      </c>
      <c r="H97" t="str">
        <f>("學習資源組")</f>
        <v>學習資源組</v>
      </c>
    </row>
    <row r="98" spans="1:8">
      <c r="A98" t="str">
        <f>("D0008763")</f>
        <v>D0008763</v>
      </c>
      <c r="B98" t="str">
        <f>("大腦體操 : 完全大腦開發手冊 / ")</f>
        <v xml:space="preserve">大腦體操 : 完全大腦開發手冊 / </v>
      </c>
      <c r="C98" t="str">
        <f>("丹尼森(Dennison, Paul)")</f>
        <v>丹尼森(Dennison, Paul)</v>
      </c>
      <c r="D98" t="str">
        <f>("張老師, ")</f>
        <v xml:space="preserve">張老師, </v>
      </c>
      <c r="E98" t="str">
        <f>("411.19 8656 2000")</f>
        <v>411.19 8656 2000</v>
      </c>
      <c r="F98" t="str">
        <f>("2000")</f>
        <v>2000</v>
      </c>
      <c r="G98" t="str">
        <f>("大林慈院藏書區")</f>
        <v>大林慈院藏書區</v>
      </c>
    </row>
    <row r="99" spans="1:8">
      <c r="A99" t="str">
        <f>("D0013303")</f>
        <v>D0013303</v>
      </c>
      <c r="B99" t="str">
        <f>("讓大腦變年輕的53種妙招 / ")</f>
        <v xml:space="preserve">讓大腦變年輕的53種妙招 / </v>
      </c>
      <c r="C99" t="str">
        <f>("米山公啟")</f>
        <v>米山公啟</v>
      </c>
      <c r="D99" t="str">
        <f>("商周出版 : ;聯合發行總經銷, ;家庭傳媒城邦分公司發行 : ")</f>
        <v xml:space="preserve">商周出版 : ;聯合發行總經銷, ;家庭傳媒城邦分公司發行 : </v>
      </c>
      <c r="E99" t="str">
        <f>("411.19 8665 2009")</f>
        <v>411.19 8665 2009</v>
      </c>
      <c r="F99" t="str">
        <f>("2009")</f>
        <v>2009</v>
      </c>
      <c r="G99" t="str">
        <f>("大林慈院藏書區")</f>
        <v>大林慈院藏書區</v>
      </c>
    </row>
    <row r="100" spans="1:8">
      <c r="A100" t="str">
        <f>("D0008098")</f>
        <v>D0008098</v>
      </c>
      <c r="B100" t="str">
        <f>("生物科技海狗油 :開啟健康長壽之門的金鑰 /")</f>
        <v>生物科技海狗油 :開啟健康長壽之門的金鑰 /</v>
      </c>
      <c r="C100" t="str">
        <f>("謝瀛華著 ")</f>
        <v xml:space="preserve">謝瀛華著 </v>
      </c>
      <c r="D100" t="str">
        <f>("立德文化,")</f>
        <v>立德文化,</v>
      </c>
      <c r="E100" t="str">
        <f>("411.3 8226 2006")</f>
        <v>411.3 8226 2006</v>
      </c>
      <c r="F100" t="str">
        <f>("2006")</f>
        <v>2006</v>
      </c>
      <c r="G100" t="str">
        <f>("大林慈院藏書區")</f>
        <v>大林慈院藏書區</v>
      </c>
    </row>
    <row r="101" spans="1:8">
      <c r="A101" t="str">
        <f>("D0013253")</f>
        <v>D0013253</v>
      </c>
      <c r="B101" t="str">
        <f>("代謝平衡,健康瘦身 / ")</f>
        <v xml:space="preserve">代謝平衡,健康瘦身 / </v>
      </c>
      <c r="C101" t="str">
        <f>("洪泰雄著 ")</f>
        <v xml:space="preserve">洪泰雄著 </v>
      </c>
      <c r="D101" t="str">
        <f>("家庭傳媒城邦分公司發行, ;原水出版 : ")</f>
        <v xml:space="preserve">家庭傳媒城邦分公司發行, ;原水出版 : </v>
      </c>
      <c r="E101" t="str">
        <f>("411.3 8234 2011")</f>
        <v>411.3 8234 2011</v>
      </c>
      <c r="F101" t="str">
        <f>("2011")</f>
        <v>2011</v>
      </c>
      <c r="G101" t="str">
        <f>("大林慈院藏書區")</f>
        <v>大林慈院藏書區</v>
      </c>
    </row>
    <row r="102" spans="1:8">
      <c r="A102" t="str">
        <f>("D0001408")</f>
        <v>D0001408</v>
      </c>
      <c r="B102" t="str">
        <f>("真食物的奧秘 /")</f>
        <v>真食物的奧秘 /</v>
      </c>
      <c r="C102" t="str">
        <f>("普朗克妮娜著 ")</f>
        <v xml:space="preserve">普朗克妮娜著 </v>
      </c>
      <c r="D102" t="str">
        <f>("天下雜誌,")</f>
        <v>天下雜誌,</v>
      </c>
      <c r="E102" t="str">
        <f>("411.3 8243 2008")</f>
        <v>411.3 8243 2008</v>
      </c>
      <c r="F102" t="str">
        <f>("2008")</f>
        <v>2008</v>
      </c>
      <c r="G102" t="str">
        <f>("大林慈院藏書區")</f>
        <v>大林慈院藏書區</v>
      </c>
      <c r="H102" t="str">
        <f>("學習資源組")</f>
        <v>學習資源組</v>
      </c>
    </row>
    <row r="103" spans="1:8">
      <c r="A103" t="str">
        <f>("D0001988")</f>
        <v>D0001988</v>
      </c>
      <c r="B103" t="str">
        <f>("大自然長壽飲食 /")</f>
        <v>大自然長壽飲食 /</v>
      </c>
      <c r="C103" t="str">
        <f>("海登利(Heidenry, Carolyn) ")</f>
        <v xml:space="preserve">海登利(Heidenry, Carolyn) </v>
      </c>
      <c r="D103" t="str">
        <f>("生活醫學書房出版,")</f>
        <v>生活醫學書房出版,</v>
      </c>
      <c r="E103" t="str">
        <f>("411.3 8247 1996")</f>
        <v>411.3 8247 1996</v>
      </c>
      <c r="F103" t="str">
        <f>("1996")</f>
        <v>1996</v>
      </c>
      <c r="G103" t="str">
        <f>("大林慈院藏書區")</f>
        <v>大林慈院藏書區</v>
      </c>
    </row>
    <row r="104" spans="1:8">
      <c r="A104" t="str">
        <f>("D0006302")</f>
        <v>D0006302</v>
      </c>
      <c r="B104" t="str">
        <f>("實用營養學 =Practical nutrition /")</f>
        <v>實用營養學 =Practical nutrition /</v>
      </c>
      <c r="C104" t="str">
        <f>("謝明哲(醫學) ")</f>
        <v xml:space="preserve">謝明哲(醫學) </v>
      </c>
      <c r="D104" t="str">
        <f>("華,")</f>
        <v>華,</v>
      </c>
      <c r="E104" t="str">
        <f>("411.3 8254 1998")</f>
        <v>411.3 8254 1998</v>
      </c>
      <c r="F104" t="str">
        <f>("1998")</f>
        <v>1998</v>
      </c>
      <c r="G104" t="str">
        <f>("大林慈院藏書區")</f>
        <v>大林慈院藏書區</v>
      </c>
      <c r="H104" t="str">
        <f>("健檢中心")</f>
        <v>健檢中心</v>
      </c>
    </row>
    <row r="105" spans="1:8">
      <c r="A105" t="str">
        <f>("D0006313")</f>
        <v>D0006313</v>
      </c>
      <c r="B105" t="str">
        <f>("實用營養學 =Practical nutrition /")</f>
        <v>實用營養學 =Practical nutrition /</v>
      </c>
      <c r="C105" t="str">
        <f>("謝明哲(醫學) ")</f>
        <v xml:space="preserve">謝明哲(醫學) </v>
      </c>
      <c r="D105" t="str">
        <f>("華,")</f>
        <v>華,</v>
      </c>
      <c r="E105" t="str">
        <f>("411.3 8254 1998 c.2")</f>
        <v>411.3 8254 1998 c.2</v>
      </c>
      <c r="F105" t="str">
        <f>("1998")</f>
        <v>1998</v>
      </c>
      <c r="G105" t="str">
        <f>("大林慈院藏書區")</f>
        <v>大林慈院藏書區</v>
      </c>
      <c r="H105" t="str">
        <f>("健檢中心")</f>
        <v>健檢中心</v>
      </c>
    </row>
    <row r="106" spans="1:8">
      <c r="A106" t="str">
        <f>("D0006532")</f>
        <v>D0006532</v>
      </c>
      <c r="B106" t="str">
        <f>("實用營養學 /")</f>
        <v>實用營養學 /</v>
      </c>
      <c r="C106" t="str">
        <f>("謝明哲編著 ")</f>
        <v xml:space="preserve">謝明哲編著 </v>
      </c>
      <c r="D106" t="str">
        <f>("華杏,")</f>
        <v>華杏,</v>
      </c>
      <c r="E106" t="str">
        <f>("411.3 8254 2005")</f>
        <v>411.3 8254 2005</v>
      </c>
      <c r="F106" t="str">
        <f>("2005")</f>
        <v>2005</v>
      </c>
      <c r="G106" t="str">
        <f>("大林慈院藏書區")</f>
        <v>大林慈院藏書區</v>
      </c>
      <c r="H106" t="str">
        <f>("營養治療科")</f>
        <v>營養治療科</v>
      </c>
    </row>
    <row r="107" spans="1:8">
      <c r="A107" t="str">
        <f>("D0003091")</f>
        <v>D0003091</v>
      </c>
      <c r="B107" t="str">
        <f>("實用營養學 =Practical nutrition /")</f>
        <v>實用營養學 =Practical nutrition /</v>
      </c>
      <c r="C107" t="str">
        <f>("謝明哲(保健營養學) ")</f>
        <v xml:space="preserve">謝明哲(保健營養學) </v>
      </c>
      <c r="D107" t="str">
        <f>("華杏,")</f>
        <v>華杏,</v>
      </c>
      <c r="E107" t="str">
        <f>("411.3 8254 2010")</f>
        <v>411.3 8254 2010</v>
      </c>
      <c r="F107" t="str">
        <f>("2010")</f>
        <v>2010</v>
      </c>
      <c r="G107" t="str">
        <f>("大林慈院藏書區")</f>
        <v>大林慈院藏書區</v>
      </c>
      <c r="H107" t="str">
        <f>("護理部")</f>
        <v>護理部</v>
      </c>
    </row>
    <row r="108" spans="1:8">
      <c r="A108" t="str">
        <f>("D0002025")</f>
        <v>D0002025</v>
      </c>
      <c r="B108" t="str">
        <f>("團體供膳 :盤餐菜單設計 /")</f>
        <v>團體供膳 :盤餐菜單設計 /</v>
      </c>
      <c r="C108" t="str">
        <f>("黃韶顏編著 ")</f>
        <v xml:space="preserve">黃韶顏編著 </v>
      </c>
      <c r="D108" t="str">
        <f>("華香園,")</f>
        <v>華香園,</v>
      </c>
      <c r="E108" t="str">
        <f>("411.3 8332 1993")</f>
        <v>411.3 8332 1993</v>
      </c>
      <c r="F108" t="str">
        <f>("1993")</f>
        <v>1993</v>
      </c>
      <c r="G108" t="str">
        <f>("大林慈院藏書區")</f>
        <v>大林慈院藏書區</v>
      </c>
    </row>
    <row r="109" spans="1:8">
      <c r="A109" t="str">
        <f>("D0002028")</f>
        <v>D0002028</v>
      </c>
      <c r="B109" t="str">
        <f>("新營養師精華5團體膳食管理 / ")</f>
        <v xml:space="preserve">新營養師精華5團體膳食管理 / </v>
      </c>
      <c r="C109" t="str">
        <f>("黃韶顏")</f>
        <v>黃韶顏</v>
      </c>
      <c r="D109" t="str">
        <f>("匯華, ")</f>
        <v xml:space="preserve">匯華, </v>
      </c>
      <c r="E109" t="str">
        <f>("411.3 8332-2 1997")</f>
        <v>411.3 8332-2 1997</v>
      </c>
      <c r="F109" t="str">
        <f>("1997")</f>
        <v>1997</v>
      </c>
      <c r="G109" t="str">
        <f>("大林慈院藏書區")</f>
        <v>大林慈院藏書區</v>
      </c>
    </row>
    <row r="110" spans="1:8">
      <c r="A110" t="str">
        <f>("D0014589")</f>
        <v>D0014589</v>
      </c>
      <c r="B110" t="str">
        <f>("老人營養與餐食調配 / ")</f>
        <v xml:space="preserve">老人營養與餐食調配 / </v>
      </c>
      <c r="C110" t="str">
        <f>("黃韶顏著 ")</f>
        <v xml:space="preserve">黃韶顏著 </v>
      </c>
      <c r="D110" t="str">
        <f>("五南, ")</f>
        <v xml:space="preserve">五南, </v>
      </c>
      <c r="E110" t="str">
        <f>("411.3 8332-3 2013")</f>
        <v>411.3 8332-3 2013</v>
      </c>
      <c r="F110" t="str">
        <f>("2013")</f>
        <v>2013</v>
      </c>
      <c r="G110" t="str">
        <f>("大林慈院藏書區")</f>
        <v>大林慈院藏書區</v>
      </c>
      <c r="H110" t="str">
        <f>("營養治療科")</f>
        <v>營養治療科</v>
      </c>
    </row>
    <row r="111" spans="1:8">
      <c r="A111" t="str">
        <f>("D0001147")</f>
        <v>D0001147</v>
      </c>
      <c r="B111" t="str">
        <f>("食物的真相 :健康一輩子的飲食法 /")</f>
        <v>食物的真相 :健康一輩子的飲食法 /</v>
      </c>
      <c r="C111" t="str">
        <f>("傅樂登斯密(Fullerton-Smith, Jill) ")</f>
        <v xml:space="preserve">傅樂登斯密(Fullerton-Smith, Jill) </v>
      </c>
      <c r="D111" t="str">
        <f>("商周出版,")</f>
        <v>商周出版,</v>
      </c>
      <c r="E111" t="str">
        <f>("411.3 8333 2007")</f>
        <v>411.3 8333 2007</v>
      </c>
      <c r="F111" t="str">
        <f>("2007")</f>
        <v>2007</v>
      </c>
      <c r="G111" t="str">
        <f>("大林慈院藏書區")</f>
        <v>大林慈院藏書區</v>
      </c>
      <c r="H111" t="str">
        <f>("學習資源組")</f>
        <v>學習資源組</v>
      </c>
    </row>
    <row r="112" spans="1:8">
      <c r="A112" t="str">
        <f>("D0004860")</f>
        <v>D0004860</v>
      </c>
      <c r="B112" t="str">
        <f>("健康魔法飲食 /")</f>
        <v>健康魔法飲食 /</v>
      </c>
      <c r="C112" t="str">
        <f>("黃惠如 ")</f>
        <v xml:space="preserve">黃惠如 </v>
      </c>
      <c r="D112" t="str">
        <f>("天下雜誌,")</f>
        <v>天下雜誌,</v>
      </c>
      <c r="E112" t="str">
        <f>("411.3 8336 2002")</f>
        <v>411.3 8336 2002</v>
      </c>
      <c r="F112" t="str">
        <f>("2002")</f>
        <v>2002</v>
      </c>
      <c r="G112" t="str">
        <f>("大林慈院藏書區")</f>
        <v>大林慈院藏書區</v>
      </c>
    </row>
    <row r="113" spans="1:8">
      <c r="A113" t="str">
        <f>("D0001042")</f>
        <v>D0001042</v>
      </c>
      <c r="B113" t="str">
        <f>("超級食物 : 14種改變一生的食物 / ")</f>
        <v xml:space="preserve">超級食物 : 14種改變一生的食物 / </v>
      </c>
      <c r="C113" t="str">
        <f>("布拉特(Pratt, Steven)")</f>
        <v>布拉特(Pratt, Steven)</v>
      </c>
      <c r="D113" t="str">
        <f>("天下雜誌出版 : ;大和圖書總經銷, ")</f>
        <v xml:space="preserve">天下雜誌出版 : ;大和圖書總經銷, </v>
      </c>
      <c r="E113" t="str">
        <f>("411.3 8345 2004")</f>
        <v>411.3 8345 2004</v>
      </c>
      <c r="F113" t="str">
        <f>("2004")</f>
        <v>2004</v>
      </c>
      <c r="G113" t="str">
        <f>("大林慈院藏書區")</f>
        <v>大林慈院藏書區</v>
      </c>
    </row>
    <row r="114" spans="1:8">
      <c r="A114" t="str">
        <f>("D0016050")</f>
        <v>D0016050</v>
      </c>
      <c r="B114" t="str">
        <f>("令人大感意外的脂肪 :為什麼奶油、肉類、乳酪應該是健康飲食/")</f>
        <v>令人大感意外的脂肪 :為什麼奶油、肉類、乳酪應該是健康飲食/</v>
      </c>
      <c r="C114" t="str">
        <f>("泰柯茲(Teicholz, Nina)著 ")</f>
        <v xml:space="preserve">泰柯茲(Teicholz, Nina)著 </v>
      </c>
      <c r="D114" t="str">
        <f>("遠足文化發行,;方舟文化出版 :")</f>
        <v>遠足文化發行,;方舟文化出版 :</v>
      </c>
      <c r="E114" t="str">
        <f>("411.3 8354 2017")</f>
        <v>411.3 8354 2017</v>
      </c>
      <c r="F114" t="str">
        <f>("2017")</f>
        <v>2017</v>
      </c>
      <c r="G114" t="str">
        <f>("大林慈院藏書區")</f>
        <v>大林慈院藏書區</v>
      </c>
      <c r="H114" t="str">
        <f>("腫瘤中心 ")</f>
        <v xml:space="preserve">腫瘤中心 </v>
      </c>
    </row>
    <row r="115" spans="1:8">
      <c r="A115" t="str">
        <f>("D0016195")</f>
        <v>D0016195</v>
      </c>
      <c r="B115" t="str">
        <f>("做自己的營養師 : 最新版食物代換圖鑑 / ")</f>
        <v xml:space="preserve">做自己的營養師 : 最新版食物代換圖鑑 / </v>
      </c>
      <c r="C115" t="str">
        <f>("黃翠華著 ")</f>
        <v xml:space="preserve">黃翠華著 </v>
      </c>
      <c r="D115" t="str">
        <f>("家庭傳媒城邦分公司發行, ;麥浩斯出版 : ")</f>
        <v xml:space="preserve">家庭傳媒城邦分公司發行, ;麥浩斯出版 : </v>
      </c>
      <c r="E115" t="str">
        <f>("411.3 8356 2019")</f>
        <v>411.3 8356 2019</v>
      </c>
      <c r="F115" t="str">
        <f>("2019")</f>
        <v>2019</v>
      </c>
      <c r="G115" t="str">
        <f>("大林慈院藏書區")</f>
        <v>大林慈院藏書區</v>
      </c>
      <c r="H115" t="str">
        <f>("腫瘤中心")</f>
        <v>腫瘤中心</v>
      </c>
    </row>
    <row r="116" spans="1:8">
      <c r="A116" t="str">
        <f>("D0016781")</f>
        <v>D0016781</v>
      </c>
      <c r="B116" t="str">
        <f>("50歲以上的營養學 :常揪人吃飯、別吃太清淡、天天肉魚蛋,鍛鍊咽喉力,略胖比瘦更健康長壽 = 健康命延 高者養食事 /")</f>
        <v>50歲以上的營養學 :常揪人吃飯、別吃太清淡、天天肉魚蛋,鍛鍊咽喉力,略胖比瘦更健康長壽 = 健康命延 高者養食事 /</v>
      </c>
      <c r="C116" t="str">
        <f>("李貞慧(日語),author;成田美紀,author")</f>
        <v>李貞慧(日語),author;成田美紀,author</v>
      </c>
      <c r="D116" t="str">
        <f>("大是文化有限公司,")</f>
        <v>大是文化有限公司,</v>
      </c>
      <c r="E116" t="str">
        <f>("411.3 8356 2020")</f>
        <v>411.3 8356 2020</v>
      </c>
      <c r="F116" t="str">
        <f>("2020")</f>
        <v>2020</v>
      </c>
      <c r="G116" t="str">
        <f>("大林慈院藏書區")</f>
        <v>大林慈院藏書區</v>
      </c>
      <c r="H116" t="str">
        <f>("腫瘤中心")</f>
        <v>腫瘤中心</v>
      </c>
    </row>
    <row r="117" spans="1:8">
      <c r="A117" t="str">
        <f>("D0015721")</f>
        <v>D0015721</v>
      </c>
      <c r="B117" t="str">
        <f>("營養學(II) : 吃出健康與愉悅的情緒 / ")</f>
        <v xml:space="preserve">營養學(II) : 吃出健康與愉悅的情緒 / </v>
      </c>
      <c r="C117" t="str">
        <f>("威廉(William, York)作 ")</f>
        <v xml:space="preserve">威廉(William, York)作 </v>
      </c>
      <c r="D117" t="str">
        <f>("貓咪予花兒工作室, ")</f>
        <v xml:space="preserve">貓咪予花兒工作室, </v>
      </c>
      <c r="E117" t="str">
        <f>("411.3 836 2014")</f>
        <v>411.3 836 2014</v>
      </c>
      <c r="F117" t="str">
        <f>("2014")</f>
        <v>2014</v>
      </c>
      <c r="G117" t="str">
        <f>("大林慈院藏書區")</f>
        <v>大林慈院藏書區</v>
      </c>
      <c r="H117" t="str">
        <f>("腫瘤中心 ")</f>
        <v xml:space="preserve">腫瘤中心 </v>
      </c>
    </row>
    <row r="118" spans="1:8">
      <c r="A118" t="str">
        <f>("D0003898")</f>
        <v>D0003898</v>
      </c>
      <c r="B118" t="str">
        <f>("營養學精要")</f>
        <v>營養學精要</v>
      </c>
      <c r="C118" t="str">
        <f>("")</f>
        <v/>
      </c>
      <c r="D118" t="str">
        <f>("健康文化")</f>
        <v>健康文化</v>
      </c>
      <c r="E118" t="str">
        <f>("411.3 8364 1991")</f>
        <v>411.3 8364 1991</v>
      </c>
      <c r="F118" t="str">
        <f>("1991")</f>
        <v>1991</v>
      </c>
      <c r="G118" t="str">
        <f>("大林慈院藏書區")</f>
        <v>大林慈院藏書區</v>
      </c>
    </row>
    <row r="119" spans="1:8">
      <c r="A119" t="str">
        <f>("D0000516")</f>
        <v>D0000516</v>
      </c>
      <c r="B119" t="str">
        <f>("吃的學問─食品營養講座/")</f>
        <v>吃的學問─食品營養講座/</v>
      </c>
      <c r="C119" t="str">
        <f>("黃伯超")</f>
        <v>黃伯超</v>
      </c>
      <c r="D119" t="str">
        <f>("健康世界雜誌社,")</f>
        <v>健康世界雜誌社,</v>
      </c>
      <c r="E119" t="str">
        <f>("411.3 8364-2 1992")</f>
        <v>411.3 8364-2 1992</v>
      </c>
      <c r="F119" t="str">
        <f>("1992")</f>
        <v>1992</v>
      </c>
      <c r="G119" t="str">
        <f>("大林慈院藏書區")</f>
        <v>大林慈院藏書區</v>
      </c>
    </row>
    <row r="120" spans="1:8">
      <c r="A120" t="str">
        <f>("D0002123")</f>
        <v>D0002123</v>
      </c>
      <c r="B120" t="str">
        <f>("孕婦與嬰兒營養聖典 /")</f>
        <v>孕婦與嬰兒營養聖典 /</v>
      </c>
      <c r="C120" t="str">
        <f>("戴維絲(Davis, Adelle)著 ")</f>
        <v xml:space="preserve">戴維絲(Davis, Adelle)著 </v>
      </c>
      <c r="D120" t="str">
        <f>("世潮出版,")</f>
        <v>世潮出版,</v>
      </c>
      <c r="E120" t="str">
        <f>("411.3 8365:2 2004")</f>
        <v>411.3 8365:2 2004</v>
      </c>
      <c r="F120" t="str">
        <f>("2004")</f>
        <v>2004</v>
      </c>
      <c r="G120" t="str">
        <f>("大林慈院藏書區")</f>
        <v>大林慈院藏書區</v>
      </c>
    </row>
    <row r="121" spans="1:8">
      <c r="A121" t="str">
        <f>("D0000647")</f>
        <v>D0000647</v>
      </c>
      <c r="B121" t="str">
        <f>("遺傳因子.DNA.核酸 :讓細胞恢復年輕的 DNA 核酸健康法 /")</f>
        <v>遺傳因子.DNA.核酸 :讓細胞恢復年輕的 DNA 核酸健康法 /</v>
      </c>
      <c r="C121" t="str">
        <f>("松永政司;宇住晃治 ;徐本裕")</f>
        <v>松永政司;宇住晃治 ;徐本裕</v>
      </c>
      <c r="D121" t="str">
        <f>("青春,")</f>
        <v>青春,</v>
      </c>
      <c r="E121" t="str">
        <f>("411.3 8367 1998")</f>
        <v>411.3 8367 1998</v>
      </c>
      <c r="F121" t="str">
        <f>("1998")</f>
        <v>1998</v>
      </c>
      <c r="G121" t="str">
        <f>("大林慈院藏書區")</f>
        <v>大林慈院藏書區</v>
      </c>
    </row>
    <row r="122" spans="1:8">
      <c r="A122" t="str">
        <f>("D0003132")</f>
        <v>D0003132</v>
      </c>
      <c r="B122" t="str">
        <f>("甜蜜享瘦自由吃 =Diabetes mellitus :")</f>
        <v>甜蜜享瘦自由吃 =Diabetes mellitus :</v>
      </c>
      <c r="C122" t="str">
        <f>("糖尿病關懷基金會 ")</f>
        <v xml:space="preserve">糖尿病關懷基金會 </v>
      </c>
      <c r="D122" t="str">
        <f>("二魚文化出版,")</f>
        <v>二魚文化出版,</v>
      </c>
      <c r="E122" t="str">
        <f>("411.3 8372 2003")</f>
        <v>411.3 8372 2003</v>
      </c>
      <c r="F122" t="str">
        <f>("2003")</f>
        <v>2003</v>
      </c>
      <c r="G122" t="str">
        <f>("大林慈院藏書區")</f>
        <v>大林慈院藏書區</v>
      </c>
    </row>
    <row r="123" spans="1:8">
      <c r="A123" t="str">
        <f>("D0017031")</f>
        <v>D0017031</v>
      </c>
      <c r="B123" t="str">
        <f>("888生理時鐘高效瘦身 :每天吃飽吃滿，還能減脂、美肌、穩血糖、改善疲勞! /")</f>
        <v>888生理時鐘高效瘦身 :每天吃飽吃滿，還能減脂、美肌、穩血糖、改善疲勞! /</v>
      </c>
      <c r="C123" t="str">
        <f>("戴蒙(Diamond, Harvey)著")</f>
        <v>戴蒙(Diamond, Harvey)著</v>
      </c>
      <c r="D123" t="str">
        <f>("柿子文化,")</f>
        <v>柿子文化,</v>
      </c>
      <c r="E123" t="str">
        <f>("411.3 838 2022")</f>
        <v>411.3 838 2022</v>
      </c>
      <c r="F123" t="str">
        <f>("2022")</f>
        <v>2022</v>
      </c>
      <c r="G123" t="str">
        <f>("大林慈院藏書區")</f>
        <v>大林慈院藏書區</v>
      </c>
      <c r="H123" t="str">
        <f>("學習資源組")</f>
        <v>學習資源組</v>
      </c>
    </row>
    <row r="124" spans="1:8">
      <c r="A124" t="str">
        <f>("D0016277")</f>
        <v>D0016277</v>
      </c>
      <c r="B124" t="str">
        <f>("餐飲營養學 :維持健康生活全人照護之磐石 = Catering nutrition /")</f>
        <v>餐飲營養學 :維持健康生活全人照護之磐石 = Catering nutrition /</v>
      </c>
      <c r="C124" t="str">
        <f>("李義川(食品科學) ")</f>
        <v xml:space="preserve">李義川(食品科學) </v>
      </c>
      <c r="D124" t="str">
        <f>("松根,")</f>
        <v>松根,</v>
      </c>
      <c r="E124" t="str">
        <f>("411.3 8427 2012")</f>
        <v>411.3 8427 2012</v>
      </c>
      <c r="F124" t="str">
        <f>("2012")</f>
        <v>2012</v>
      </c>
      <c r="G124" t="str">
        <f>("大林慈院藏書區")</f>
        <v>大林慈院藏書區</v>
      </c>
    </row>
    <row r="125" spans="1:8">
      <c r="A125" t="str">
        <f>("D0016059")</f>
        <v>D0016059</v>
      </c>
      <c r="B125" t="str">
        <f>("生酮治病飲食全書 :酮體自救飲食者最真實的成功告白 /")</f>
        <v>生酮治病飲食全書 :酮體自救飲食者最真實的成功告白 /</v>
      </c>
      <c r="C125" t="str">
        <f>("摩爾(Moore, Jimmy),1971- ")</f>
        <v xml:space="preserve">摩爾(Moore, Jimmy),1971- </v>
      </c>
      <c r="D125" t="str">
        <f>("柿子文化,")</f>
        <v>柿子文化,</v>
      </c>
      <c r="E125" t="str">
        <f>("411.3 843 2017")</f>
        <v>411.3 843 2017</v>
      </c>
      <c r="F125" t="str">
        <f>("2017")</f>
        <v>2017</v>
      </c>
      <c r="G125" t="str">
        <f>("大林慈院藏書區")</f>
        <v>大林慈院藏書區</v>
      </c>
      <c r="H125" t="str">
        <f>("營養治療科")</f>
        <v>營養治療科</v>
      </c>
    </row>
    <row r="126" spans="1:8">
      <c r="A126" t="str">
        <f>("D0012756")</f>
        <v>D0012756</v>
      </c>
      <c r="B126" t="str">
        <f>("醫生教你這樣吃健康食品 /")</f>
        <v>醫生教你這樣吃健康食品 /</v>
      </c>
      <c r="C126" t="str">
        <f>("")</f>
        <v/>
      </c>
      <c r="D126" t="str">
        <f>("世潮,")</f>
        <v>世潮,</v>
      </c>
      <c r="E126" t="str">
        <f>("411.3 8434 2012")</f>
        <v>411.3 8434 2012</v>
      </c>
      <c r="F126" t="str">
        <f>("2012")</f>
        <v>2012</v>
      </c>
      <c r="G126" t="str">
        <f>("大林慈院藏書區")</f>
        <v>大林慈院藏書區</v>
      </c>
      <c r="H126" t="str">
        <f>("學習資源組")</f>
        <v>學習資源組</v>
      </c>
    </row>
    <row r="127" spans="1:8">
      <c r="A127" t="str">
        <f>("D0014688")</f>
        <v>D0014688</v>
      </c>
      <c r="B127" t="str">
        <f>("實用營養諮詢與教育 /")</f>
        <v>實用營養諮詢與教育 /</v>
      </c>
      <c r="C127" t="str">
        <f>("鄭裕耀 ")</f>
        <v xml:space="preserve">鄭裕耀 </v>
      </c>
      <c r="D127" t="str">
        <f>("華格那企業,")</f>
        <v>華格那企業,</v>
      </c>
      <c r="E127" t="str">
        <f>("411.3 8435 2015")</f>
        <v>411.3 8435 2015</v>
      </c>
      <c r="F127" t="str">
        <f>("2015")</f>
        <v>2015</v>
      </c>
      <c r="G127" t="str">
        <f>("大林慈院藏書區")</f>
        <v>大林慈院藏書區</v>
      </c>
    </row>
    <row r="128" spans="1:8">
      <c r="A128" t="str">
        <f>("D0000724")</f>
        <v>D0000724</v>
      </c>
      <c r="B128" t="str">
        <f>("營養學概論 /")</f>
        <v>營養學概論 /</v>
      </c>
      <c r="C128" t="str">
        <f>("張振崗(衛生學) ")</f>
        <v xml:space="preserve">張振崗(衛生學) </v>
      </c>
      <c r="D128" t="str">
        <f>("華格那企業,")</f>
        <v>華格那企業,</v>
      </c>
      <c r="E128" t="str">
        <f>("411.3 8443 2008")</f>
        <v>411.3 8443 2008</v>
      </c>
      <c r="F128" t="str">
        <f>("2008")</f>
        <v>2008</v>
      </c>
      <c r="G128" t="str">
        <f>("大林慈院藏書區")</f>
        <v>大林慈院藏書區</v>
      </c>
      <c r="H128" t="str">
        <f>("護理部")</f>
        <v>護理部</v>
      </c>
    </row>
    <row r="129" spans="1:8">
      <c r="A129" t="str">
        <f>("D0012401")</f>
        <v>D0012401</v>
      </c>
      <c r="B129" t="str">
        <f>("臺灣小吃營養大解析")</f>
        <v>臺灣小吃營養大解析</v>
      </c>
      <c r="C129" t="str">
        <f>("")</f>
        <v/>
      </c>
      <c r="D129" t="str">
        <f>("[中華民國糖尿病衛教學會]")</f>
        <v>[中華民國糖尿病衛教學會]</v>
      </c>
      <c r="E129" t="str">
        <f>("411.3 8443 2009 v.1")</f>
        <v>411.3 8443 2009 v.1</v>
      </c>
      <c r="F129" t="str">
        <f>("2009")</f>
        <v>2009</v>
      </c>
      <c r="G129" t="str">
        <f>("大林慈院單位藏書")</f>
        <v>大林慈院單位藏書</v>
      </c>
      <c r="H129" t="str">
        <f>("護理部")</f>
        <v>護理部</v>
      </c>
    </row>
    <row r="130" spans="1:8">
      <c r="A130" t="str">
        <f>("D0012402")</f>
        <v>D0012402</v>
      </c>
      <c r="B130" t="str">
        <f>("臺灣小吃營養大解析")</f>
        <v>臺灣小吃營養大解析</v>
      </c>
      <c r="C130" t="str">
        <f>("")</f>
        <v/>
      </c>
      <c r="D130" t="str">
        <f>("[中華民國糖尿病衛教學會]")</f>
        <v>[中華民國糖尿病衛教學會]</v>
      </c>
      <c r="E130" t="str">
        <f>("411.3 8443 2009 v.2")</f>
        <v>411.3 8443 2009 v.2</v>
      </c>
      <c r="F130" t="str">
        <f>("2009")</f>
        <v>2009</v>
      </c>
      <c r="G130" t="str">
        <f>("大林慈院單位藏書")</f>
        <v>大林慈院單位藏書</v>
      </c>
      <c r="H130" t="str">
        <f>("護理部")</f>
        <v>護理部</v>
      </c>
    </row>
    <row r="131" spans="1:8">
      <c r="A131" t="str">
        <f>("D0015601")</f>
        <v>D0015601</v>
      </c>
      <c r="B131" t="str">
        <f>("臺灣小吃營養大解析.南臺灣篇 /")</f>
        <v>臺灣小吃營養大解析.南臺灣篇 /</v>
      </c>
      <c r="C131" t="str">
        <f>("許碧惠(食品科學) ;蘇秀悅")</f>
        <v>許碧惠(食品科學) ;蘇秀悅</v>
      </c>
      <c r="D131" t="str">
        <f>("中華民國糖尿病衛教學會,")</f>
        <v>中華民國糖尿病衛教學會,</v>
      </c>
      <c r="E131" t="str">
        <f>("411.3 8443-2 2011")</f>
        <v>411.3 8443-2 2011</v>
      </c>
      <c r="F131" t="str">
        <f>("2011")</f>
        <v>2011</v>
      </c>
      <c r="G131" t="str">
        <f>("大林慈院單位藏書")</f>
        <v>大林慈院單位藏書</v>
      </c>
      <c r="H131" t="str">
        <f>("營養治療科")</f>
        <v>營養治療科</v>
      </c>
    </row>
    <row r="132" spans="1:8">
      <c r="A132" t="str">
        <f>("D0015602")</f>
        <v>D0015602</v>
      </c>
      <c r="B132" t="str">
        <f>("臺灣小吃營養大解析.南臺灣篇 /")</f>
        <v>臺灣小吃營養大解析.南臺灣篇 /</v>
      </c>
      <c r="C132" t="str">
        <f>("許碧惠(食品科學) ;蘇秀悅")</f>
        <v>許碧惠(食品科學) ;蘇秀悅</v>
      </c>
      <c r="D132" t="str">
        <f>("中華民國糖尿病衛教學會,")</f>
        <v>中華民國糖尿病衛教學會,</v>
      </c>
      <c r="E132" t="str">
        <f>("411.3 8443-2 2011 c.2")</f>
        <v>411.3 8443-2 2011 c.2</v>
      </c>
      <c r="F132" t="str">
        <f>("2011")</f>
        <v>2011</v>
      </c>
      <c r="G132" t="str">
        <f>("大林慈院單位藏書")</f>
        <v>大林慈院單位藏書</v>
      </c>
      <c r="H132" t="str">
        <f>("營養治療科")</f>
        <v>營養治療科</v>
      </c>
    </row>
    <row r="133" spans="1:8">
      <c r="A133" t="str">
        <f>("D0015599")</f>
        <v>D0015599</v>
      </c>
      <c r="B133" t="str">
        <f>("臺灣小吃營養大解析.中臺灣篇 /")</f>
        <v>臺灣小吃營養大解析.中臺灣篇 /</v>
      </c>
      <c r="C133" t="str">
        <f>("許碧惠(食品科學) ;林旻樺(工業管理) ;蘇秀悅")</f>
        <v>許碧惠(食品科學) ;林旻樺(工業管理) ;蘇秀悅</v>
      </c>
      <c r="D133" t="str">
        <f>("中華民國糖尿病衛教學會,")</f>
        <v>中華民國糖尿病衛教學會,</v>
      </c>
      <c r="E133" t="str">
        <f>("411.3 8443-3 2015")</f>
        <v>411.3 8443-3 2015</v>
      </c>
      <c r="F133" t="str">
        <f>("2015")</f>
        <v>2015</v>
      </c>
      <c r="G133" t="str">
        <f>("大林慈院單位藏書")</f>
        <v>大林慈院單位藏書</v>
      </c>
      <c r="H133" t="str">
        <f>("營養治療科")</f>
        <v>營養治療科</v>
      </c>
    </row>
    <row r="134" spans="1:8">
      <c r="A134" t="str">
        <f>("D0015600")</f>
        <v>D0015600</v>
      </c>
      <c r="B134" t="str">
        <f>("臺灣小吃營養大解析.中臺灣篇 /")</f>
        <v>臺灣小吃營養大解析.中臺灣篇 /</v>
      </c>
      <c r="C134" t="str">
        <f>("許碧惠(食品科學) ;林旻樺(工業管理) ;蘇秀悅")</f>
        <v>許碧惠(食品科學) ;林旻樺(工業管理) ;蘇秀悅</v>
      </c>
      <c r="D134" t="str">
        <f>("中華民國糖尿病衛教學會,")</f>
        <v>中華民國糖尿病衛教學會,</v>
      </c>
      <c r="E134" t="str">
        <f>("411.3 8443-3 2015 c.2")</f>
        <v>411.3 8443-3 2015 c.2</v>
      </c>
      <c r="F134" t="str">
        <f>("2015")</f>
        <v>2015</v>
      </c>
      <c r="G134" t="str">
        <f>("大林慈院單位藏書")</f>
        <v>大林慈院單位藏書</v>
      </c>
      <c r="H134" t="str">
        <f>("營養治療科")</f>
        <v>營養治療科</v>
      </c>
    </row>
    <row r="135" spans="1:8">
      <c r="A135" t="str">
        <f>("D0013608")</f>
        <v>D0013608</v>
      </c>
      <c r="B135" t="str">
        <f>("美肌美人營養學 / ")</f>
        <v xml:space="preserve">美肌美人營養學 / </v>
      </c>
      <c r="C135" t="str">
        <f>("蒲池桂子")</f>
        <v>蒲池桂子</v>
      </c>
      <c r="D135" t="str">
        <f>("八方出版, ")</f>
        <v xml:space="preserve">八方出版, </v>
      </c>
      <c r="E135" t="str">
        <f>("411.3 8444 2013")</f>
        <v>411.3 8444 2013</v>
      </c>
      <c r="F135" t="str">
        <f>("2013")</f>
        <v>2013</v>
      </c>
      <c r="G135" t="str">
        <f>("大林慈院藏書區")</f>
        <v>大林慈院藏書區</v>
      </c>
    </row>
    <row r="136" spans="1:8">
      <c r="A136" t="str">
        <f>("D0006051")</f>
        <v>D0006051</v>
      </c>
      <c r="B136" t="str">
        <f>("最健康的豆類 /")</f>
        <v>最健康的豆類 /</v>
      </c>
      <c r="C136" t="str">
        <f>("王小沙 ")</f>
        <v xml:space="preserve">王小沙 </v>
      </c>
      <c r="D136" t="str">
        <f>("禾揚出版,")</f>
        <v>禾揚出版,</v>
      </c>
      <c r="E136" t="str">
        <f>("411.3 8445 1997")</f>
        <v>411.3 8445 1997</v>
      </c>
      <c r="F136" t="str">
        <f>("1997")</f>
        <v>1997</v>
      </c>
      <c r="G136" t="str">
        <f>("大林慈院藏書區")</f>
        <v>大林慈院藏書區</v>
      </c>
    </row>
    <row r="137" spans="1:8">
      <c r="A137" t="str">
        <f>("D0012987")</f>
        <v>D0012987</v>
      </c>
      <c r="B137" t="str">
        <f>("哈佛醫師養生法 = Harvard doctor's secrets of health / ")</f>
        <v xml:space="preserve">哈佛醫師養生法 = Harvard doctor's secrets of health / </v>
      </c>
      <c r="C137" t="str">
        <f>("許瑞云著")</f>
        <v>許瑞云著</v>
      </c>
      <c r="D137" t="str">
        <f>("平安文化, ")</f>
        <v xml:space="preserve">平安文化, </v>
      </c>
      <c r="E137" t="str">
        <f>("411.3 8453 2009")</f>
        <v>411.3 8453 2009</v>
      </c>
      <c r="F137" t="str">
        <f>("2009")</f>
        <v>2009</v>
      </c>
      <c r="G137" t="str">
        <f>("大林慈院藏書區")</f>
        <v>大林慈院藏書區</v>
      </c>
      <c r="H137" t="str">
        <f>("學習資源組")</f>
        <v>學習資源組</v>
      </c>
    </row>
    <row r="138" spans="1:8">
      <c r="A138" t="str">
        <f>("D0007179")</f>
        <v>D0007179</v>
      </c>
      <c r="B138" t="str">
        <f>("合理素食才健康 /")</f>
        <v>合理素食才健康 /</v>
      </c>
      <c r="C138" t="str">
        <f>("黨毅 ")</f>
        <v xml:space="preserve">黨毅 </v>
      </c>
      <c r="D138" t="str">
        <f>("元氣齋,")</f>
        <v>元氣齋,</v>
      </c>
      <c r="E138" t="str">
        <f>("411.3 846 1996")</f>
        <v>411.3 846 1996</v>
      </c>
      <c r="F138" t="str">
        <f>("1996")</f>
        <v>1996</v>
      </c>
      <c r="G138" t="str">
        <f>("大林慈院藏書區")</f>
        <v>大林慈院藏書區</v>
      </c>
    </row>
    <row r="139" spans="1:8">
      <c r="A139" t="str">
        <f>("D0016559")</f>
        <v>D0016559</v>
      </c>
      <c r="B139" t="str">
        <f>("飲食宜忌吃出健康 / ")</f>
        <v xml:space="preserve">飲食宜忌吃出健康 / </v>
      </c>
      <c r="C139" t="str">
        <f>("鄭金寶著")</f>
        <v>鄭金寶著</v>
      </c>
      <c r="D139" t="str">
        <f>("華翔文創, ")</f>
        <v xml:space="preserve">華翔文創, </v>
      </c>
      <c r="E139" t="str">
        <f>("411.3 8462 2020")</f>
        <v>411.3 8462 2020</v>
      </c>
      <c r="F139" t="str">
        <f>("2020")</f>
        <v>2020</v>
      </c>
      <c r="G139" t="str">
        <f>("大林慈院藏書區")</f>
        <v>大林慈院藏書區</v>
      </c>
      <c r="H139" t="str">
        <f>("學習資源組")</f>
        <v>學習資源組</v>
      </c>
    </row>
    <row r="140" spans="1:8">
      <c r="A140" t="str">
        <f>("D0014587")</f>
        <v>D0014587</v>
      </c>
      <c r="B140" t="str">
        <f>("疾病營養學 / ")</f>
        <v xml:space="preserve">疾病營養學 / </v>
      </c>
      <c r="C140" t="str">
        <f>("胡淑惠")</f>
        <v>胡淑惠</v>
      </c>
      <c r="D140" t="str">
        <f>("華杏 ,")</f>
        <v>華杏 ,</v>
      </c>
      <c r="E140" t="str">
        <f>("411.3 8463 2015")</f>
        <v>411.3 8463 2015</v>
      </c>
      <c r="F140" t="str">
        <f>("2015")</f>
        <v>2015</v>
      </c>
      <c r="G140" t="str">
        <f>("大林慈院藏書區")</f>
        <v>大林慈院藏書區</v>
      </c>
      <c r="H140" t="str">
        <f>("營養治療科")</f>
        <v>營養治療科</v>
      </c>
    </row>
    <row r="141" spans="1:8">
      <c r="A141" t="str">
        <f>("D0015811")</f>
        <v>D0015811</v>
      </c>
      <c r="B141" t="str">
        <f>("圖解腸道健康法 : 不生病的關鍵秘密 / ")</f>
        <v xml:space="preserve">圖解腸道健康法 : 不生病的關鍵秘密 / </v>
      </c>
      <c r="C141" t="str">
        <f>("新谷弘實;李毓昭譯")</f>
        <v>新谷弘實;李毓昭譯</v>
      </c>
      <c r="D141" t="str">
        <f>("晨星發行 : ;知己圖書總經銷, ")</f>
        <v xml:space="preserve">晨星發行 : ;知己圖書總經銷, </v>
      </c>
      <c r="E141" t="str">
        <f>("411.3 8463:2 2010")</f>
        <v>411.3 8463:2 2010</v>
      </c>
      <c r="F141" t="str">
        <f>("2010")</f>
        <v>2010</v>
      </c>
      <c r="G141" t="str">
        <f>("大林慈院藏書區")</f>
        <v>大林慈院藏書區</v>
      </c>
    </row>
    <row r="142" spans="1:8">
      <c r="A142" t="str">
        <f>("D0015744")</f>
        <v>D0015744</v>
      </c>
      <c r="B142" t="str">
        <f>("臨床營養學 :理論與實務 = Clinical nutrition in practice /")</f>
        <v>臨床營養學 :理論與實務 = Clinical nutrition in practice /</v>
      </c>
      <c r="C142" t="str">
        <f>("李昆霙 ")</f>
        <v xml:space="preserve">李昆霙 </v>
      </c>
      <c r="D142" t="str">
        <f>("華格那,")</f>
        <v>華格那,</v>
      </c>
      <c r="E142" t="str">
        <f>("411.3 8467 2015")</f>
        <v>411.3 8467 2015</v>
      </c>
      <c r="F142" t="str">
        <f>("2015")</f>
        <v>2015</v>
      </c>
      <c r="G142" t="str">
        <f>("大林慈院藏書區")</f>
        <v>大林慈院藏書區</v>
      </c>
      <c r="H142" t="str">
        <f>("腫瘤中心")</f>
        <v>腫瘤中心</v>
      </c>
    </row>
    <row r="143" spans="1:8">
      <c r="A143" t="str">
        <f>("D0012791")</f>
        <v>D0012791</v>
      </c>
      <c r="B143" t="str">
        <f>("紅色牧人的綠色旅程 /")</f>
        <v>紅色牧人的綠色旅程 /</v>
      </c>
      <c r="C143" t="str">
        <f>("黎曼(Lyman, Howard F.) ")</f>
        <v xml:space="preserve">黎曼(Lyman, Howard F.) </v>
      </c>
      <c r="D143" t="str">
        <f>("柿子文化,")</f>
        <v>柿子文化,</v>
      </c>
      <c r="E143" t="str">
        <f>("411.3 848 2010")</f>
        <v>411.3 848 2010</v>
      </c>
      <c r="F143" t="str">
        <f>("2010")</f>
        <v>2010</v>
      </c>
      <c r="G143" t="str">
        <f>("大林慈院藏書區")</f>
        <v>大林慈院藏書區</v>
      </c>
      <c r="H143" t="str">
        <f>("學習資源組")</f>
        <v>學習資源組</v>
      </c>
    </row>
    <row r="144" spans="1:8">
      <c r="A144" t="str">
        <f>("D0012288")</f>
        <v>D0012288</v>
      </c>
      <c r="B144" t="str">
        <f>("普通營養學 =General nutrition /")</f>
        <v>普通營養學 =General nutrition /</v>
      </c>
      <c r="C144" t="str">
        <f>("王果行 ")</f>
        <v xml:space="preserve">王果行 </v>
      </c>
      <c r="D144" t="str">
        <f>("匯華,")</f>
        <v>匯華,</v>
      </c>
      <c r="E144" t="str">
        <f>("411.3 8487 1996")</f>
        <v>411.3 8487 1996</v>
      </c>
      <c r="F144" t="str">
        <f>("1996")</f>
        <v>1996</v>
      </c>
      <c r="G144" t="str">
        <f>("大林慈院藏書區")</f>
        <v>大林慈院藏書區</v>
      </c>
      <c r="H144" t="str">
        <f>("護理部")</f>
        <v>護理部</v>
      </c>
    </row>
    <row r="145" spans="1:8">
      <c r="A145" t="str">
        <f>("D0015800")</f>
        <v>D0015800</v>
      </c>
      <c r="B145" t="str">
        <f>("這樣吃,體能回到20歲 :營養學博士王進崑的運動營養學與回春食譜 /")</f>
        <v>這樣吃,體能回到20歲 :營養學博士王進崑的運動營養學與回春食譜 /</v>
      </c>
      <c r="C145" t="str">
        <f>("王進崑 ")</f>
        <v xml:space="preserve">王進崑 </v>
      </c>
      <c r="D145" t="str">
        <f>("大是文化,")</f>
        <v>大是文化,</v>
      </c>
      <c r="E145" t="str">
        <f>("411.3 8496 2016")</f>
        <v>411.3 8496 2016</v>
      </c>
      <c r="F145" t="str">
        <f>("2016")</f>
        <v>2016</v>
      </c>
      <c r="G145" t="str">
        <f>("大林慈院藏書區")</f>
        <v>大林慈院藏書區</v>
      </c>
      <c r="H145" t="str">
        <f>("腫瘤中心")</f>
        <v>腫瘤中心</v>
      </c>
    </row>
    <row r="146" spans="1:8">
      <c r="A146" t="str">
        <f>("D0014560")</f>
        <v>D0014560</v>
      </c>
      <c r="B146" t="str">
        <f>("臨床營養學 : 醫療營養治療 = Textbook of clinical nutrition:medical nutrition therapy / ")</f>
        <v xml:space="preserve">臨床營養學 : 醫療營養治療 = Textbook of clinical nutrition:medical nutrition therapy / </v>
      </c>
      <c r="C146" t="str">
        <f>("章樂綺著 ")</f>
        <v xml:space="preserve">章樂綺著 </v>
      </c>
      <c r="D146" t="str">
        <f>("華杏, ")</f>
        <v xml:space="preserve">華杏, </v>
      </c>
      <c r="E146" t="str">
        <f>("411.3 8497 2015")</f>
        <v>411.3 8497 2015</v>
      </c>
      <c r="F146" t="str">
        <f>("2015")</f>
        <v>2015</v>
      </c>
      <c r="G146" t="str">
        <f>("大林慈院藏書區")</f>
        <v>大林慈院藏書區</v>
      </c>
      <c r="H146" t="str">
        <f>("營養治療科")</f>
        <v>營養治療科</v>
      </c>
    </row>
    <row r="147" spans="1:8">
      <c r="A147" t="str">
        <f>("D0010954")</f>
        <v>D0010954</v>
      </c>
      <c r="B147" t="str">
        <f>("戰勝癌症 :基因營養醫學救了我們! /")</f>
        <v>戰勝癌症 :基因營養醫學救了我們! /</v>
      </c>
      <c r="C147" t="str">
        <f>("呂應鐘,1948- ")</f>
        <v xml:space="preserve">呂應鐘,1948- </v>
      </c>
      <c r="D147" t="str">
        <f>("文經社,")</f>
        <v>文經社,</v>
      </c>
      <c r="E147" t="str">
        <f>("411.3 8526 2005")</f>
        <v>411.3 8526 2005</v>
      </c>
      <c r="F147" t="str">
        <f>("2005")</f>
        <v>2005</v>
      </c>
      <c r="G147" t="str">
        <f>("大林慈院藏書區")</f>
        <v>大林慈院藏書區</v>
      </c>
    </row>
    <row r="148" spans="1:8">
      <c r="A148" t="str">
        <f>("D0015785")</f>
        <v>D0015785</v>
      </c>
      <c r="B148" t="str">
        <f>("生命期營養 /")</f>
        <v>生命期營養 /</v>
      </c>
      <c r="C148" t="str">
        <f>("布朗(Brown, Judith E.) ;蕭寧馨")</f>
        <v>布朗(Brown, Judith E.) ;蕭寧馨</v>
      </c>
      <c r="D148" t="str">
        <f>("新加坡商聖智學習出版 ;;藝軒出版總經銷,")</f>
        <v>新加坡商聖智學習出版 ;;藝軒出版總經銷,</v>
      </c>
      <c r="E148" t="str">
        <f>("411.3 853 2016")</f>
        <v>411.3 853 2016</v>
      </c>
      <c r="F148" t="str">
        <f>("2016")</f>
        <v>2016</v>
      </c>
      <c r="G148" t="str">
        <f>("大林慈院藏書區")</f>
        <v>大林慈院藏書區</v>
      </c>
      <c r="H148" t="str">
        <f>("腫瘤中心")</f>
        <v>腫瘤中心</v>
      </c>
    </row>
    <row r="149" spans="1:8">
      <c r="A149" t="str">
        <f>("D0007317")</f>
        <v>D0007317</v>
      </c>
      <c r="B149" t="str">
        <f>("健康飲食 Follow Me /")</f>
        <v>健康飲食 Follow Me /</v>
      </c>
      <c r="C149" t="str">
        <f>("郝龍斌著 ")</f>
        <v xml:space="preserve">郝龍斌著 </v>
      </c>
      <c r="D149" t="str">
        <f>("天下遠見出版,")</f>
        <v>天下遠見出版,</v>
      </c>
      <c r="E149" t="str">
        <f>("411.3 8532 2001")</f>
        <v>411.3 8532 2001</v>
      </c>
      <c r="F149" t="str">
        <f>("2001")</f>
        <v>2001</v>
      </c>
      <c r="G149" t="str">
        <f>("大林慈院藏書區")</f>
        <v>大林慈院藏書區</v>
      </c>
    </row>
    <row r="150" spans="1:8">
      <c r="A150" t="str">
        <f>("D0005617")</f>
        <v>D0005617</v>
      </c>
      <c r="B150" t="str">
        <f>("營養學和膳食療養")</f>
        <v>營養學和膳食療養</v>
      </c>
      <c r="C150" t="str">
        <f>("")</f>
        <v/>
      </c>
      <c r="D150" t="str">
        <f>("合記")</f>
        <v>合記</v>
      </c>
      <c r="E150" t="str">
        <f>("411.3 854 2003")</f>
        <v>411.3 854 2003</v>
      </c>
      <c r="F150" t="str">
        <f>("2003")</f>
        <v>2003</v>
      </c>
      <c r="G150" t="str">
        <f>("大林慈院藏書區")</f>
        <v>大林慈院藏書區</v>
      </c>
      <c r="H150" t="str">
        <f>("家庭醫學科")</f>
        <v>家庭醫學科</v>
      </c>
    </row>
    <row r="151" spans="1:8">
      <c r="A151" t="str">
        <f>("D0014556")</f>
        <v>D0014556</v>
      </c>
      <c r="B151" t="str">
        <f>("老人營養學=Nutrition for the older adult / ")</f>
        <v xml:space="preserve">老人營養學=Nutrition for the older adult / </v>
      </c>
      <c r="C151" t="str">
        <f>("湯雅理 ")</f>
        <v xml:space="preserve">湯雅理 </v>
      </c>
      <c r="D151" t="str">
        <f>("華格那企業, ")</f>
        <v xml:space="preserve">華格那企業, </v>
      </c>
      <c r="E151" t="str">
        <f>("411.3 8544 2014")</f>
        <v>411.3 8544 2014</v>
      </c>
      <c r="F151" t="str">
        <f>("2014")</f>
        <v>2014</v>
      </c>
      <c r="G151" t="str">
        <f>("大林慈院藏書區")</f>
        <v>大林慈院藏書區</v>
      </c>
      <c r="H151" t="str">
        <f>("營養治療科 ")</f>
        <v xml:space="preserve">營養治療科 </v>
      </c>
    </row>
    <row r="152" spans="1:8">
      <c r="A152" t="str">
        <f>("D0003147")</f>
        <v>D0003147</v>
      </c>
      <c r="B152" t="str">
        <f>("彩色圖解營養學 /")</f>
        <v>彩色圖解營養學 /</v>
      </c>
      <c r="C152" t="str">
        <f>("比薩爾斯基(Biesalski, H. K.)原著 ")</f>
        <v xml:space="preserve">比薩爾斯基(Biesalski, H. K.)原著 </v>
      </c>
      <c r="D152" t="str">
        <f>("合記,")</f>
        <v>合記,</v>
      </c>
      <c r="E152" t="str">
        <f>("411.3 8553 2009")</f>
        <v>411.3 8553 2009</v>
      </c>
      <c r="F152" t="str">
        <f>("2009")</f>
        <v>2009</v>
      </c>
      <c r="G152" t="str">
        <f>("大林慈院藏書區")</f>
        <v>大林慈院藏書區</v>
      </c>
      <c r="H152" t="str">
        <f>("護理部")</f>
        <v>護理部</v>
      </c>
    </row>
    <row r="153" spans="1:8">
      <c r="A153" t="str">
        <f>("D0016077")</f>
        <v>D0016077</v>
      </c>
      <c r="B153" t="str">
        <f>("原始人飲食聖經 :一份可以讓你終生奉行的低醣飲食計畫Whole 30 /")</f>
        <v>原始人飲食聖經 :一份可以讓你終生奉行的低醣飲食計畫Whole 30 /</v>
      </c>
      <c r="C153" t="str">
        <f>("哈特維格(Hartwig, Dallas) ")</f>
        <v xml:space="preserve">哈特維格(Hartwig, Dallas) </v>
      </c>
      <c r="D153" t="str">
        <f>("如果出版 :;大雁出版基地發行,")</f>
        <v>如果出版 :;大雁出版基地發行,</v>
      </c>
      <c r="E153" t="str">
        <f>("411.3 8556 2017")</f>
        <v>411.3 8556 2017</v>
      </c>
      <c r="F153" t="str">
        <f>("2017")</f>
        <v>2017</v>
      </c>
      <c r="G153" t="str">
        <f>("大林慈院藏書區")</f>
        <v>大林慈院藏書區</v>
      </c>
      <c r="H153" t="str">
        <f>("腫瘤中心 ")</f>
        <v xml:space="preserve">腫瘤中心 </v>
      </c>
    </row>
    <row r="154" spans="1:8">
      <c r="A154" t="str">
        <f>("D0010988")</f>
        <v>D0010988</v>
      </c>
      <c r="B154" t="str">
        <f>("怎樣吃最健康 /")</f>
        <v>怎樣吃最健康 /</v>
      </c>
      <c r="C154" t="str">
        <f>("莊靜芬 ")</f>
        <v xml:space="preserve">莊靜芬 </v>
      </c>
      <c r="D154" t="str">
        <f>("文經,")</f>
        <v>文經,</v>
      </c>
      <c r="E154" t="str">
        <f>("411.3 8557 1994")</f>
        <v>411.3 8557 1994</v>
      </c>
      <c r="F154" t="str">
        <f>("1994")</f>
        <v>1994</v>
      </c>
      <c r="G154" t="str">
        <f>("大林慈院藏書區")</f>
        <v>大林慈院藏書區</v>
      </c>
    </row>
    <row r="155" spans="1:8">
      <c r="A155" t="str">
        <f>("D0015724")</f>
        <v>D0015724</v>
      </c>
      <c r="B155" t="str">
        <f>("世界第一簡單營養學 /")</f>
        <v>世界第一簡單營養學 /</v>
      </c>
      <c r="C155" t="str">
        <f>("田勝(醫學, 1948-) ")</f>
        <v xml:space="preserve">田勝(醫學, 1948-) </v>
      </c>
      <c r="D155" t="str">
        <f>("世茂,")</f>
        <v>世茂,</v>
      </c>
      <c r="E155" t="str">
        <f>("411.3 8558 2015")</f>
        <v>411.3 8558 2015</v>
      </c>
      <c r="F155" t="str">
        <f>("2015")</f>
        <v>2015</v>
      </c>
      <c r="G155" t="str">
        <f>("大林慈院藏書區")</f>
        <v>大林慈院藏書區</v>
      </c>
      <c r="H155" t="str">
        <f>("腫瘤中心")</f>
        <v>腫瘤中心</v>
      </c>
    </row>
    <row r="156" spans="1:8">
      <c r="A156" t="str">
        <f>("D0014836")</f>
        <v>D0014836</v>
      </c>
      <c r="B156" t="str">
        <f>("堆疊飲食計畫 : 只要10週，每週累積一種飲食習慣愉快啟動終生受用的身體療癒力 / ")</f>
        <v xml:space="preserve">堆疊飲食計畫 : 只要10週，每週累積一種飲食習慣愉快啟動終生受用的身體療癒力 / </v>
      </c>
      <c r="C156" t="str">
        <f>("畢爾(Beare, Sally,1967- )著 ")</f>
        <v xml:space="preserve">畢爾(Beare, Sally,1967- )著 </v>
      </c>
      <c r="D156" t="str">
        <f>("晨星, ")</f>
        <v xml:space="preserve">晨星, </v>
      </c>
      <c r="E156" t="str">
        <f>("411.3 863 2016")</f>
        <v>411.3 863 2016</v>
      </c>
      <c r="F156" t="str">
        <f>("2016")</f>
        <v>2016</v>
      </c>
      <c r="G156" t="str">
        <f>("大林慈院藏書區")</f>
        <v>大林慈院藏書區</v>
      </c>
      <c r="H156" t="str">
        <f>("腫瘤中心 ")</f>
        <v xml:space="preserve">腫瘤中心 </v>
      </c>
    </row>
    <row r="157" spans="1:8">
      <c r="A157" t="str">
        <f>("D0014563")</f>
        <v>D0014563</v>
      </c>
      <c r="B157" t="str">
        <f>("醫生沒空告訴你的食物營養大全 :要健康,先看懂營養學! / ")</f>
        <v xml:space="preserve">醫生沒空告訴你的食物營養大全 :要健康,先看懂營養學! / </v>
      </c>
      <c r="C157" t="str">
        <f>("中村丁次主編 ;方冠婷譯 ")</f>
        <v xml:space="preserve">中村丁次主編 ;方冠婷譯 </v>
      </c>
      <c r="D157" t="str">
        <f>("灌溉者出版 :;楨彥總經銷,")</f>
        <v>灌溉者出版 :;楨彥總經銷,</v>
      </c>
      <c r="E157" t="str">
        <f>("411.3 8635 2015")</f>
        <v>411.3 8635 2015</v>
      </c>
      <c r="F157" t="str">
        <f>("2015")</f>
        <v>2015</v>
      </c>
      <c r="G157" t="str">
        <f>("大林慈院藏書區")</f>
        <v>大林慈院藏書區</v>
      </c>
      <c r="H157" t="str">
        <f>("營養治療科")</f>
        <v>營養治療科</v>
      </c>
    </row>
    <row r="158" spans="1:8">
      <c r="A158" t="str">
        <f>("D0003868")</f>
        <v>D0003868</v>
      </c>
      <c r="B158" t="str">
        <f>("疾病.營養與膳食療養 /")</f>
        <v>疾病.營養與膳食療養 /</v>
      </c>
      <c r="C158" t="str">
        <f>("王秀媛編著 ")</f>
        <v xml:space="preserve">王秀媛編著 </v>
      </c>
      <c r="D158" t="str">
        <f>("華香園,")</f>
        <v>華香園,</v>
      </c>
      <c r="E158" t="str">
        <f>("411.3 8637 1994")</f>
        <v>411.3 8637 1994</v>
      </c>
      <c r="F158" t="str">
        <f>("1994")</f>
        <v>1994</v>
      </c>
      <c r="G158" t="str">
        <f>("大林慈院藏書區")</f>
        <v>大林慈院藏書區</v>
      </c>
    </row>
    <row r="159" spans="1:8">
      <c r="A159" t="str">
        <f>("D0002280")</f>
        <v>D0002280</v>
      </c>
      <c r="B159" t="str">
        <f>("蔬果密碼 : 中醫師與營養師的健康對談 / ")</f>
        <v xml:space="preserve">蔬果密碼 : 中醫師與營養師的健康對談 / </v>
      </c>
      <c r="C159" t="str">
        <f>("蕭菊貞編")</f>
        <v>蕭菊貞編</v>
      </c>
      <c r="D159" t="str">
        <f>("大和總經銷, ;日月文化出版 : ")</f>
        <v xml:space="preserve">大和總經銷, ;日月文化出版 : </v>
      </c>
      <c r="E159" t="str">
        <f>("411.3 8644 2006")</f>
        <v>411.3 8644 2006</v>
      </c>
      <c r="F159" t="str">
        <f>("2006")</f>
        <v>2006</v>
      </c>
      <c r="G159" t="str">
        <f>("大林慈院藏書區")</f>
        <v>大林慈院藏書區</v>
      </c>
    </row>
    <row r="160" spans="1:8">
      <c r="A160" t="str">
        <f>("D0016997")</f>
        <v>D0016997</v>
      </c>
      <c r="B160" t="str">
        <f>("機能營養學前瞻 /")</f>
        <v>機能營養學前瞻 /</v>
      </c>
      <c r="C160" t="str">
        <f>("伯德-布雷德本納(Byrd-Bredbenner, Carol)")</f>
        <v>伯德-布雷德本納(Byrd-Bredbenner, Carol)</v>
      </c>
      <c r="D160" t="str">
        <f>("藝軒圖書出版社,;美商麥格羅希爾國際股份有限公司臺灣分公司")</f>
        <v>藝軒圖書出版社,;美商麥格羅希爾國際股份有限公司臺灣分公司</v>
      </c>
      <c r="E160" t="str">
        <f>("411.3 8644 2022")</f>
        <v>411.3 8644 2022</v>
      </c>
      <c r="F160" t="str">
        <f>("2022")</f>
        <v>2022</v>
      </c>
      <c r="G160" t="str">
        <f>("大林慈院單位藏書")</f>
        <v>大林慈院單位藏書</v>
      </c>
      <c r="H160" t="str">
        <f>("腫瘤中心")</f>
        <v>腫瘤中心</v>
      </c>
    </row>
    <row r="161" spans="1:8">
      <c r="A161" t="str">
        <f>("D0011470")</f>
        <v>D0011470</v>
      </c>
      <c r="B161" t="str">
        <f>("高等營養與代謝 / ")</f>
        <v xml:space="preserve">高等營養與代謝 / </v>
      </c>
      <c r="C161" t="str">
        <f>("")</f>
        <v/>
      </c>
      <c r="D161" t="str">
        <f>("藝軒, ;新加坡商聖智學習 ; ")</f>
        <v xml:space="preserve">藝軒, ;新加坡商聖智學習 ; </v>
      </c>
      <c r="E161" t="str">
        <f>("411.3 8644:2 2013")</f>
        <v>411.3 8644:2 2013</v>
      </c>
      <c r="F161" t="str">
        <f>("2013")</f>
        <v>2013</v>
      </c>
      <c r="G161" t="str">
        <f>("大林慈院單位藏書")</f>
        <v>大林慈院單位藏書</v>
      </c>
    </row>
    <row r="162" spans="1:8">
      <c r="A162" t="str">
        <f>("D0015799")</f>
        <v>D0015799</v>
      </c>
      <c r="B162" t="str">
        <f>("哈佛醫師教你吃對營養保健康 / ")</f>
        <v xml:space="preserve">哈佛醫師教你吃對營養保健康 / </v>
      </c>
      <c r="C162" t="str">
        <f>("康景軒著 ")</f>
        <v xml:space="preserve">康景軒著 </v>
      </c>
      <c r="D162" t="str">
        <f>("聯合發行經銷, ;人類智庫數位科技出版 : ")</f>
        <v xml:space="preserve">聯合發行經銷, ;人類智庫數位科技出版 : </v>
      </c>
      <c r="E162" t="str">
        <f>("411.3 8645 2015")</f>
        <v>411.3 8645 2015</v>
      </c>
      <c r="F162" t="str">
        <f>("2015")</f>
        <v>2015</v>
      </c>
      <c r="G162" t="str">
        <f>("大林慈院藏書區")</f>
        <v>大林慈院藏書區</v>
      </c>
      <c r="H162" t="str">
        <f>("腫瘤中心 ")</f>
        <v xml:space="preserve">腫瘤中心 </v>
      </c>
    </row>
    <row r="163" spans="1:8">
      <c r="A163" t="str">
        <f>("D0016259")</f>
        <v>D0016259</v>
      </c>
      <c r="B163" t="str">
        <f>("別讓錯誤的營養觀害了你.2,你吃進的是營養還是負擔？ /")</f>
        <v>別讓錯誤的營養觀害了你.2,你吃進的是營養還是負擔？ /</v>
      </c>
      <c r="C163" t="str">
        <f>("白小良,文字作者 ")</f>
        <v xml:space="preserve">白小良,文字作者 </v>
      </c>
      <c r="D163" t="str">
        <f>("時報文化出版企業股份有限公司,")</f>
        <v>時報文化出版企業股份有限公司,</v>
      </c>
      <c r="E163" t="str">
        <f>("411.3 8646 2018")</f>
        <v>411.3 8646 2018</v>
      </c>
      <c r="F163" t="str">
        <f>("2018")</f>
        <v>2018</v>
      </c>
      <c r="G163" t="str">
        <f>("大林慈院藏書區")</f>
        <v>大林慈院藏書區</v>
      </c>
      <c r="H163" t="str">
        <f>("腫瘤中心 ")</f>
        <v xml:space="preserve">腫瘤中心 </v>
      </c>
    </row>
    <row r="164" spans="1:8">
      <c r="A164" t="str">
        <f>("D0016256")</f>
        <v>D0016256</v>
      </c>
      <c r="B164" t="str">
        <f>("廚房裡的偽科學 :你以為的健康飲食法,都是食物世界裡的胡說八道 /")</f>
        <v>廚房裡的偽科學 :你以為的健康飲食法,都是食物世界裡的胡說八道 /</v>
      </c>
      <c r="C164" t="str">
        <f>("華納(Warner, Anthony (Chef)),文字作者 ")</f>
        <v xml:space="preserve">華納(Warner, Anthony (Chef)),文字作者 </v>
      </c>
      <c r="D164" t="str">
        <f>("遠足文化事業股份有限公司發行,;八旗文化出版 :")</f>
        <v>遠足文化事業股份有限公司發行,;八旗文化出版 :</v>
      </c>
      <c r="E164" t="str">
        <f>("411.3 865 2018")</f>
        <v>411.3 865 2018</v>
      </c>
      <c r="F164" t="str">
        <f>("2018")</f>
        <v>2018</v>
      </c>
      <c r="G164" t="str">
        <f>("大林慈院藏書區")</f>
        <v>大林慈院藏書區</v>
      </c>
      <c r="H164" t="str">
        <f>("腫瘤中心")</f>
        <v>腫瘤中心</v>
      </c>
    </row>
    <row r="165" spans="1:8">
      <c r="A165" t="str">
        <f>("D0016238")</f>
        <v>D0016238</v>
      </c>
      <c r="B165" t="str">
        <f>("爸媽老了該怎麼吃? :世界最新醫學研究告訴你,60歲之後的健康飲食和你想的不一樣 /")</f>
        <v>爸媽老了該怎麼吃? :世界最新醫學研究告訴你,60歲之後的健康飲食和你想的不一樣 /</v>
      </c>
      <c r="C165" t="str">
        <f>("滿尾正,文字作者 ")</f>
        <v xml:space="preserve">滿尾正,文字作者 </v>
      </c>
      <c r="D165" t="str">
        <f>("如果出版 :;大雁出版基地發行,")</f>
        <v>如果出版 :;大雁出版基地發行,</v>
      </c>
      <c r="E165" t="str">
        <f>("411.3 8654 2018")</f>
        <v>411.3 8654 2018</v>
      </c>
      <c r="F165" t="str">
        <f>("2018")</f>
        <v>2018</v>
      </c>
      <c r="G165" t="str">
        <f>("大林慈院藏書區")</f>
        <v>大林慈院藏書區</v>
      </c>
      <c r="H165" t="str">
        <f>("腫瘤中心")</f>
        <v>腫瘤中心</v>
      </c>
    </row>
    <row r="166" spans="1:8">
      <c r="A166" t="str">
        <f>("D0016609")</f>
        <v>D0016609</v>
      </c>
      <c r="B166" t="str">
        <f>("用腦袋來吃飯 :營養師的飲食觀念 /")</f>
        <v>用腦袋來吃飯 :營養師的飲食觀念 /</v>
      </c>
      <c r="C166" t="str">
        <f>("伍卉苓,著")</f>
        <v>伍卉苓,著</v>
      </c>
      <c r="D166" t="str">
        <f>("慈濟傳播人文志業基金會,")</f>
        <v>慈濟傳播人文志業基金會,</v>
      </c>
      <c r="E166" t="str">
        <f>("411.3 8654 2020")</f>
        <v>411.3 8654 2020</v>
      </c>
      <c r="F166" t="str">
        <f>("2020")</f>
        <v>2020</v>
      </c>
      <c r="G166" t="str">
        <f>("大林慈院慈濟專區")</f>
        <v>大林慈院慈濟專區</v>
      </c>
    </row>
    <row r="167" spans="1:8">
      <c r="A167" t="str">
        <f>("D0015963")</f>
        <v>D0015963</v>
      </c>
      <c r="B167" t="str">
        <f>("食療聖經 : 最新科學實證用全食物蔬食逆轉15大致死疾病  / ")</f>
        <v xml:space="preserve">食療聖經 : 最新科學實證用全食物蔬食逆轉15大致死疾病  / </v>
      </c>
      <c r="C167" t="str">
        <f>("格雷格(Greger, Michael)著")</f>
        <v>格雷格(Greger, Michael)著</v>
      </c>
      <c r="D167" t="str">
        <f>("大雁文化發行, ;漫遊者文化出版 : ")</f>
        <v xml:space="preserve">大雁文化發行, ;漫遊者文化出版 : </v>
      </c>
      <c r="E167" t="str">
        <f>("411.3 8664 2017")</f>
        <v>411.3 8664 2017</v>
      </c>
      <c r="F167" t="str">
        <f>("2017")</f>
        <v>2017</v>
      </c>
      <c r="G167" t="str">
        <f>("大林慈院藏書區")</f>
        <v>大林慈院藏書區</v>
      </c>
      <c r="H167" t="str">
        <f>("腫瘤中心")</f>
        <v>腫瘤中心</v>
      </c>
    </row>
    <row r="168" spans="1:8">
      <c r="A168" t="str">
        <f>("D0006353")</f>
        <v>D0006353</v>
      </c>
      <c r="B168" t="str">
        <f>("營養學 /")</f>
        <v>營養學 /</v>
      </c>
      <c r="C168" t="str">
        <f>("宋申蕃 ")</f>
        <v xml:space="preserve">宋申蕃 </v>
      </c>
      <c r="D168" t="str">
        <f>("茂昌,")</f>
        <v>茂昌,</v>
      </c>
      <c r="E168" t="str">
        <f>("411.3 8665 1991")</f>
        <v>411.3 8665 1991</v>
      </c>
      <c r="F168" t="str">
        <f>("1991")</f>
        <v>1991</v>
      </c>
      <c r="G168" t="str">
        <f>("大林慈院藏書區")</f>
        <v>大林慈院藏書區</v>
      </c>
    </row>
    <row r="169" spans="1:8">
      <c r="A169" t="str">
        <f>("D0000721")</f>
        <v>D0000721</v>
      </c>
      <c r="B169" t="str">
        <f>("新編營養學 =Nutrition /")</f>
        <v>新編營養學 =Nutrition /</v>
      </c>
      <c r="C169" t="str">
        <f>("楊乃彥 ")</f>
        <v xml:space="preserve">楊乃彥 </v>
      </c>
      <c r="D169" t="str">
        <f>("華杏,")</f>
        <v>華杏,</v>
      </c>
      <c r="E169" t="str">
        <f>("411.3 8665 1996")</f>
        <v>411.3 8665 1996</v>
      </c>
      <c r="F169" t="str">
        <f>("1996")</f>
        <v>1996</v>
      </c>
      <c r="G169" t="str">
        <f>("大林慈院藏書區")</f>
        <v>大林慈院藏書區</v>
      </c>
    </row>
    <row r="170" spans="1:8">
      <c r="A170" t="str">
        <f>("D0002195")</f>
        <v>D0002195</v>
      </c>
      <c r="B170" t="str">
        <f>("新編營養學 /")</f>
        <v>新編營養學 /</v>
      </c>
      <c r="C170" t="str">
        <f>("楊乃彥 ")</f>
        <v xml:space="preserve">楊乃彥 </v>
      </c>
      <c r="D170" t="str">
        <f>("華杏,")</f>
        <v>華杏,</v>
      </c>
      <c r="E170" t="str">
        <f>("411.3 8665 2008")</f>
        <v>411.3 8665 2008</v>
      </c>
      <c r="F170" t="str">
        <f>("2008")</f>
        <v>2008</v>
      </c>
      <c r="G170" t="str">
        <f>("大林慈院藏書區")</f>
        <v>大林慈院藏書區</v>
      </c>
      <c r="H170" t="str">
        <f>("學習資源組")</f>
        <v>學習資源組</v>
      </c>
    </row>
    <row r="171" spans="1:8">
      <c r="A171" t="str">
        <f>("D0005895")</f>
        <v>D0005895</v>
      </c>
      <c r="B171" t="str">
        <f>("實用重症營養治療手冊 /")</f>
        <v>實用重症營養治療手冊 /</v>
      </c>
      <c r="C171" t="str">
        <f>("")</f>
        <v/>
      </c>
      <c r="D171" t="str">
        <f>("時新出版,")</f>
        <v>時新出版,</v>
      </c>
      <c r="E171" t="str">
        <f>("411.3 8666 2008")</f>
        <v>411.3 8666 2008</v>
      </c>
      <c r="F171" t="str">
        <f>("2008")</f>
        <v>2008</v>
      </c>
      <c r="G171" t="str">
        <f>("大林慈院單位藏書")</f>
        <v>大林慈院單位藏書</v>
      </c>
      <c r="H171" t="str">
        <f>("營養治療科")</f>
        <v>營養治療科</v>
      </c>
    </row>
    <row r="172" spans="1:8">
      <c r="A172" t="str">
        <f>("D0002893")</f>
        <v>D0002893</v>
      </c>
      <c r="B172" t="str">
        <f>("實用重症營養治療手冊 /")</f>
        <v>實用重症營養治療手冊 /</v>
      </c>
      <c r="C172" t="str">
        <f>("")</f>
        <v/>
      </c>
      <c r="D172" t="str">
        <f>("時新出版,")</f>
        <v>時新出版,</v>
      </c>
      <c r="E172" t="str">
        <f>("411.3 8666 2008 c.2")</f>
        <v>411.3 8666 2008 c.2</v>
      </c>
      <c r="F172" t="str">
        <f>("2008")</f>
        <v>2008</v>
      </c>
      <c r="G172" t="str">
        <f>("大林慈院藏書區")</f>
        <v>大林慈院藏書區</v>
      </c>
      <c r="H172" t="str">
        <f>("營養治療科")</f>
        <v>營養治療科</v>
      </c>
    </row>
    <row r="173" spans="1:8">
      <c r="A173" t="str">
        <f>("D0005146")</f>
        <v>D0005146</v>
      </c>
      <c r="B173" t="str">
        <f>("飲食規則 :83條日常實踐的簡單飲食方針 /")</f>
        <v>飲食規則 :83條日常實踐的簡單飲食方針 /</v>
      </c>
      <c r="C173" t="str">
        <f>("波倫 (Pollan, Michael)")</f>
        <v>波倫 (Pollan, Michael)</v>
      </c>
      <c r="D173" t="str">
        <f>("大家出版,")</f>
        <v>大家出版,</v>
      </c>
      <c r="E173" t="str">
        <f>("411.3 867 2012")</f>
        <v>411.3 867 2012</v>
      </c>
      <c r="F173" t="str">
        <f>("2012")</f>
        <v>2012</v>
      </c>
      <c r="G173" t="str">
        <f>("大林慈院藏書區")</f>
        <v>大林慈院藏書區</v>
      </c>
      <c r="H173" t="str">
        <f>("學習資源組")</f>
        <v>學習資源組</v>
      </c>
    </row>
    <row r="174" spans="1:8">
      <c r="A174" t="str">
        <f>("D0014585")</f>
        <v>D0014585</v>
      </c>
      <c r="B174" t="str">
        <f>("食安守門人教你聰明擇食、安心飲食 /")</f>
        <v>食安守門人教你聰明擇食、安心飲食 /</v>
      </c>
      <c r="C174" t="str">
        <f>("文長安,著 ")</f>
        <v xml:space="preserve">文長安,著 </v>
      </c>
      <c r="D174" t="str">
        <f>("如何出版社有限公司出版 :;叩應股份有限公司經銷,")</f>
        <v>如何出版社有限公司出版 :;叩應股份有限公司經銷,</v>
      </c>
      <c r="E174" t="str">
        <f>("411.3 8673 2015")</f>
        <v>411.3 8673 2015</v>
      </c>
      <c r="F174" t="str">
        <f>("2015")</f>
        <v>2015</v>
      </c>
      <c r="G174" t="str">
        <f>("大林慈院藏書區")</f>
        <v>大林慈院藏書區</v>
      </c>
      <c r="H174" t="str">
        <f>("營養治療科")</f>
        <v>營養治療科</v>
      </c>
    </row>
    <row r="175" spans="1:8">
      <c r="A175" t="str">
        <f>("D0014936")</f>
        <v>D0014936</v>
      </c>
      <c r="B175" t="str">
        <f>("無毒飲食生活家教你 :真食物這樣選!這樣吃! /")</f>
        <v>無毒飲食生活家教你 :真食物這樣選!這樣吃! /</v>
      </c>
      <c r="C175" t="str">
        <f>("白佩玉(保健營養學) ")</f>
        <v xml:space="preserve">白佩玉(保健營養學) </v>
      </c>
      <c r="D175" t="str">
        <f>("蘋果屋出版 :;知遠文化代理總經銷,")</f>
        <v>蘋果屋出版 :;知遠文化代理總經銷,</v>
      </c>
      <c r="E175" t="str">
        <f>("411.3 8673:2 2014")</f>
        <v>411.3 8673:2 2014</v>
      </c>
      <c r="F175" t="str">
        <f>("2014")</f>
        <v>2014</v>
      </c>
      <c r="G175" t="str">
        <f>("大林慈院藏書區")</f>
        <v>大林慈院藏書區</v>
      </c>
    </row>
    <row r="176" spans="1:8">
      <c r="A176" t="str">
        <f>("D0007020")</f>
        <v>D0007020</v>
      </c>
      <c r="B176" t="str">
        <f>("微量元素好養生 /")</f>
        <v>微量元素好養生 /</v>
      </c>
      <c r="C176" t="str">
        <f>("薛水福 ")</f>
        <v xml:space="preserve">薛水福 </v>
      </c>
      <c r="D176" t="str">
        <f>("元氣齋,")</f>
        <v>元氣齋,</v>
      </c>
      <c r="E176" t="str">
        <f>("411.3 8683 1996")</f>
        <v>411.3 8683 1996</v>
      </c>
      <c r="F176" t="str">
        <f>("1996")</f>
        <v>1996</v>
      </c>
      <c r="G176" t="str">
        <f>("大林慈院藏書區")</f>
        <v>大林慈院藏書區</v>
      </c>
    </row>
    <row r="177" spans="1:8">
      <c r="A177" t="str">
        <f>("D0007581")</f>
        <v>D0007581</v>
      </c>
      <c r="B177" t="str">
        <f>("營養學")</f>
        <v>營養學</v>
      </c>
      <c r="C177" t="str">
        <f>("")</f>
        <v/>
      </c>
      <c r="D177" t="str">
        <f>("永大")</f>
        <v>永大</v>
      </c>
      <c r="E177" t="str">
        <f>("411.3 8684 1992")</f>
        <v>411.3 8684 1992</v>
      </c>
      <c r="F177" t="str">
        <f>("1992")</f>
        <v>1992</v>
      </c>
      <c r="G177" t="str">
        <f>("大林慈院藏書區")</f>
        <v>大林慈院藏書區</v>
      </c>
    </row>
    <row r="178" spans="1:8">
      <c r="A178" t="str">
        <f>("D0016650")</f>
        <v>D0016650</v>
      </c>
      <c r="B178" t="str">
        <f>("實用重症營養治療手冊 / ")</f>
        <v xml:space="preserve">實用重症營養治療手冊 / </v>
      </c>
      <c r="C178" t="str">
        <f>("尹彙文")</f>
        <v>尹彙文</v>
      </c>
      <c r="D178" t="str">
        <f>("時新出版, ")</f>
        <v xml:space="preserve">時新出版, </v>
      </c>
      <c r="E178" t="str">
        <f>("411.3 8696 2017")</f>
        <v>411.3 8696 2017</v>
      </c>
      <c r="F178" t="str">
        <f>("2017")</f>
        <v>2017</v>
      </c>
      <c r="G178" t="str">
        <f>("大林慈院藏書區")</f>
        <v>大林慈院藏書區</v>
      </c>
      <c r="H178" t="str">
        <f>("腫瘤中心")</f>
        <v>腫瘤中心</v>
      </c>
    </row>
    <row r="179" spans="1:8">
      <c r="A179" t="str">
        <f>("D0016695")</f>
        <v>D0016695</v>
      </c>
      <c r="B179" t="str">
        <f>("藥理教授教你善用舌尖來思考 /")</f>
        <v>藥理教授教你善用舌尖來思考 /</v>
      </c>
      <c r="C179" t="str">
        <f>("張洪濤著")</f>
        <v>張洪濤著</v>
      </c>
      <c r="D179" t="str">
        <f>("清文華泉 ,")</f>
        <v>清文華泉 ,</v>
      </c>
      <c r="E179" t="str">
        <f>("411.3 8722 2020")</f>
        <v>411.3 8722 2020</v>
      </c>
      <c r="F179" t="str">
        <f>("2020")</f>
        <v>2020</v>
      </c>
      <c r="G179" t="str">
        <f>("大林慈院藏書區")</f>
        <v>大林慈院藏書區</v>
      </c>
      <c r="H179" t="str">
        <f>("腫瘤中心")</f>
        <v>腫瘤中心</v>
      </c>
    </row>
    <row r="180" spans="1:8">
      <c r="A180" t="str">
        <f>("D0013191")</f>
        <v>D0013191</v>
      </c>
      <c r="B180" t="str">
        <f>("營養教材 /")</f>
        <v>營養教材 /</v>
      </c>
      <c r="C180" t="str">
        <f>("林宏榮")</f>
        <v>林宏榮</v>
      </c>
      <c r="D180" t="str">
        <f>("財團法人醫院評鑑暨醫療品質策進會 ;")</f>
        <v>財團法人醫院評鑑暨醫療品質策進會 ;</v>
      </c>
      <c r="E180" t="str">
        <f>("411.3 8726 2013")</f>
        <v>411.3 8726 2013</v>
      </c>
      <c r="F180" t="str">
        <f>("2013")</f>
        <v>2013</v>
      </c>
      <c r="G180" t="str">
        <f>("大林慈院藏書區")</f>
        <v>大林慈院藏書區</v>
      </c>
    </row>
    <row r="181" spans="1:8">
      <c r="A181" t="str">
        <f>("D0013192")</f>
        <v>D0013192</v>
      </c>
      <c r="B181" t="str">
        <f>("營養教材 /")</f>
        <v>營養教材 /</v>
      </c>
      <c r="C181" t="str">
        <f>("林宏榮")</f>
        <v>林宏榮</v>
      </c>
      <c r="D181" t="str">
        <f>("財團法人醫院評鑑暨醫療品質策進會 ;")</f>
        <v>財團法人醫院評鑑暨醫療品質策進會 ;</v>
      </c>
      <c r="E181" t="str">
        <f>("411.3 8726 2013 c.2")</f>
        <v>411.3 8726 2013 c.2</v>
      </c>
      <c r="F181" t="str">
        <f>("2013")</f>
        <v>2013</v>
      </c>
      <c r="G181" t="str">
        <f>("大林慈院藏書區")</f>
        <v>大林慈院藏書區</v>
      </c>
    </row>
    <row r="182" spans="1:8">
      <c r="A182" t="str">
        <f>("D0003734")</f>
        <v>D0003734</v>
      </c>
      <c r="B182" t="str">
        <f>("營養師精華 /")</f>
        <v>營養師精華 /</v>
      </c>
      <c r="C182" t="str">
        <f>("陳冠如")</f>
        <v>陳冠如</v>
      </c>
      <c r="D182" t="str">
        <f>("匯華發行,")</f>
        <v>匯華發行,</v>
      </c>
      <c r="E182" t="str">
        <f>("411.3 8726:2 1994")</f>
        <v>411.3 8726:2 1994</v>
      </c>
      <c r="F182" t="str">
        <f>("1994")</f>
        <v>1994</v>
      </c>
      <c r="G182" t="str">
        <f>("大林慈院藏書區")</f>
        <v>大林慈院藏書區</v>
      </c>
    </row>
    <row r="183" spans="1:8">
      <c r="A183" t="str">
        <f>("D0006016")</f>
        <v>D0006016</v>
      </c>
      <c r="B183" t="str">
        <f>("食物與癌症/")</f>
        <v>食物與癌症/</v>
      </c>
      <c r="C183" t="str">
        <f>("林松洲")</f>
        <v>林松洲</v>
      </c>
      <c r="D183" t="str">
        <f>("豪峰,")</f>
        <v>豪峰,</v>
      </c>
      <c r="E183" t="str">
        <f>("411.3 8734 1990")</f>
        <v>411.3 8734 1990</v>
      </c>
      <c r="F183" t="str">
        <f>("1990")</f>
        <v>1990</v>
      </c>
      <c r="G183" t="str">
        <f>("大林慈院藏書區")</f>
        <v>大林慈院藏書區</v>
      </c>
    </row>
    <row r="184" spans="1:8">
      <c r="A184" t="str">
        <f>("D0016257")</f>
        <v>D0016257</v>
      </c>
      <c r="B184" t="str">
        <f>("營養師百問百答 :圖解營養學百大飲食迷思全破解 /")</f>
        <v>營養師百問百答 :圖解營養學百大飲食迷思全破解 /</v>
      </c>
      <c r="C184" t="str">
        <f>("劉素櫻,文字作者 ")</f>
        <v xml:space="preserve">劉素櫻,文字作者 </v>
      </c>
      <c r="D184" t="str">
        <f>("和平國際文化有限公司,;昶景國際文化有限公司 ")</f>
        <v xml:space="preserve">和平國際文化有限公司,;昶景國際文化有限公司 </v>
      </c>
      <c r="E184" t="str">
        <f>("411.3 8734:2 2018")</f>
        <v>411.3 8734:2 2018</v>
      </c>
      <c r="F184" t="str">
        <f>("2018")</f>
        <v>2018</v>
      </c>
      <c r="G184" t="str">
        <f>("大林慈院藏書區")</f>
        <v>大林慈院藏書區</v>
      </c>
      <c r="H184" t="str">
        <f>("腫瘤中心 ")</f>
        <v xml:space="preserve">腫瘤中心 </v>
      </c>
    </row>
    <row r="185" spans="1:8">
      <c r="A185" t="str">
        <f>("D0007150")</f>
        <v>D0007150</v>
      </c>
      <c r="B185" t="str">
        <f>("蔬果飲食健康法 /")</f>
        <v>蔬果飲食健康法 /</v>
      </c>
      <c r="C185" t="str">
        <f>("袁立人 ")</f>
        <v xml:space="preserve">袁立人 </v>
      </c>
      <c r="D185" t="str">
        <f>("浩園文化出版,")</f>
        <v>浩園文化出版,</v>
      </c>
      <c r="E185" t="str">
        <f>("411.3 8739 2000")</f>
        <v>411.3 8739 2000</v>
      </c>
      <c r="F185" t="str">
        <f>("2000")</f>
        <v>2000</v>
      </c>
      <c r="G185" t="str">
        <f>("大林慈院藏書區")</f>
        <v>大林慈院藏書區</v>
      </c>
    </row>
    <row r="186" spans="1:8">
      <c r="A186" t="str">
        <f>("D0014583")</f>
        <v>D0014583</v>
      </c>
      <c r="B186" t="str">
        <f>("生命期營養 / ")</f>
        <v xml:space="preserve">生命期營養 / </v>
      </c>
      <c r="C186" t="str">
        <f>("陳惠欣")</f>
        <v>陳惠欣</v>
      </c>
      <c r="D186" t="str">
        <f>("華格那企業, ")</f>
        <v xml:space="preserve">華格那企業, </v>
      </c>
      <c r="E186" t="str">
        <f>("411.3 8739:2 2015")</f>
        <v>411.3 8739:2 2015</v>
      </c>
      <c r="F186" t="str">
        <f>("2015")</f>
        <v>2015</v>
      </c>
      <c r="G186" t="str">
        <f>("大林慈院藏書區")</f>
        <v>大林慈院藏書區</v>
      </c>
      <c r="H186" t="str">
        <f>("營養治療科")</f>
        <v>營養治療科</v>
      </c>
    </row>
    <row r="187" spans="1:8">
      <c r="A187" t="str">
        <f>("D0015723")</f>
        <v>D0015723</v>
      </c>
      <c r="B187" t="str">
        <f>("營養聖戰40年 :臺灣營養學會四十週年紀念專書 = Nutrition revolution /")</f>
        <v>營養聖戰40年 :臺灣營養學會四十週年紀念專書 = Nutrition revolution /</v>
      </c>
      <c r="C187" t="str">
        <f>("劉惠敏(衛生學) ")</f>
        <v xml:space="preserve">劉惠敏(衛生學) </v>
      </c>
      <c r="D187" t="str">
        <f>("大和書報總經銷,;遠見天下文化出版 ;")</f>
        <v>大和書報總經銷,;遠見天下文化出版 ;</v>
      </c>
      <c r="E187" t="str">
        <f>("411.3 8739:3 2014")</f>
        <v>411.3 8739:3 2014</v>
      </c>
      <c r="F187" t="str">
        <f>("2014")</f>
        <v>2014</v>
      </c>
      <c r="G187" t="str">
        <f>("大林慈院藏書區")</f>
        <v>大林慈院藏書區</v>
      </c>
      <c r="H187" t="str">
        <f>("腫瘤中心")</f>
        <v>腫瘤中心</v>
      </c>
    </row>
    <row r="188" spans="1:8">
      <c r="A188" t="str">
        <f>("D0014854")</f>
        <v>D0014854</v>
      </c>
      <c r="B188" t="str">
        <f>("救命飲食人體重建手冊 : 坎貝爾醫生給所有病患的指定讀物 / ")</f>
        <v xml:space="preserve">救命飲食人體重建手冊 : 坎貝爾醫生給所有病患的指定讀物 / </v>
      </c>
      <c r="C188" t="str">
        <f>("坎貝爾(Campbell, Thomas) ")</f>
        <v xml:space="preserve">坎貝爾(Campbell, Thomas) </v>
      </c>
      <c r="D188" t="str">
        <f>("柿子文化, ")</f>
        <v xml:space="preserve">柿子文化, </v>
      </c>
      <c r="E188" t="str">
        <f>("411.3 8743 2016")</f>
        <v>411.3 8743 2016</v>
      </c>
      <c r="F188" t="str">
        <f>("2016")</f>
        <v>2016</v>
      </c>
      <c r="G188" t="str">
        <f>("大林慈院藏書區")</f>
        <v>大林慈院藏書區</v>
      </c>
      <c r="H188" t="str">
        <f>("腫瘤中心")</f>
        <v>腫瘤中心</v>
      </c>
    </row>
    <row r="189" spans="1:8">
      <c r="A189" t="str">
        <f>("D0016198")</f>
        <v>D0016198</v>
      </c>
      <c r="B189" t="str">
        <f>("救命飲食 : 越營養，越危險!? / ")</f>
        <v xml:space="preserve">救命飲食 : 越營養，越危險!? / </v>
      </c>
      <c r="C189" t="str">
        <f>("坎培爾(Campbell, T. Colin)著")</f>
        <v>坎培爾(Campbell, T. Colin)著</v>
      </c>
      <c r="D189" t="str">
        <f>("柿子文化, ")</f>
        <v xml:space="preserve">柿子文化, </v>
      </c>
      <c r="E189" t="str">
        <f>("411.3 8743-2 2018")</f>
        <v>411.3 8743-2 2018</v>
      </c>
      <c r="F189" t="str">
        <f>("2018")</f>
        <v>2018</v>
      </c>
      <c r="G189" t="str">
        <f>("大林慈院藏書區")</f>
        <v>大林慈院藏書區</v>
      </c>
      <c r="H189" t="str">
        <f>("腫瘤中心")</f>
        <v>腫瘤中心</v>
      </c>
    </row>
    <row r="190" spans="1:8">
      <c r="A190" t="str">
        <f>("D0005664")</f>
        <v>D0005664</v>
      </c>
      <c r="B190" t="str">
        <f>("新膳食療養學")</f>
        <v>新膳食療養學</v>
      </c>
      <c r="C190" t="str">
        <f>("")</f>
        <v/>
      </c>
      <c r="D190" t="str">
        <f>("茂昌圖書")</f>
        <v>茂昌圖書</v>
      </c>
      <c r="E190" t="str">
        <f>("411.3 8753 1986")</f>
        <v>411.3 8753 1986</v>
      </c>
      <c r="F190" t="str">
        <f>("1986")</f>
        <v>1986</v>
      </c>
      <c r="G190" t="str">
        <f>("大林慈院藏書區")</f>
        <v>大林慈院藏書區</v>
      </c>
    </row>
    <row r="191" spans="1:8">
      <c r="A191" t="str">
        <f>("D0014853")</f>
        <v>D0014853</v>
      </c>
      <c r="B191" t="str">
        <f>("超級防癌食物排行榜 / ")</f>
        <v xml:space="preserve">超級防癌食物排行榜 / </v>
      </c>
      <c r="C191" t="str">
        <f>("")</f>
        <v/>
      </c>
      <c r="D191" t="str">
        <f>("人類智庫數位科技, ")</f>
        <v xml:space="preserve">人類智庫數位科技, </v>
      </c>
      <c r="E191" t="str">
        <f>("411.3 8753:2 2015")</f>
        <v>411.3 8753:2 2015</v>
      </c>
      <c r="F191" t="str">
        <f>("2015")</f>
        <v>2015</v>
      </c>
      <c r="G191" t="str">
        <f>("大林慈院藏書區")</f>
        <v>大林慈院藏書區</v>
      </c>
      <c r="H191" t="str">
        <f>("腫瘤中心")</f>
        <v>腫瘤中心</v>
      </c>
    </row>
    <row r="192" spans="1:8">
      <c r="A192" t="str">
        <f>("D0016580")</f>
        <v>D0016580</v>
      </c>
      <c r="B192" t="str">
        <f>("天然蔬果營養素 :排毒x防癌x抗三高 /")</f>
        <v>天然蔬果營養素 :排毒x防癌x抗三高 /</v>
      </c>
      <c r="C192" t="str">
        <f>("陳彥甫,author")</f>
        <v>陳彥甫,author</v>
      </c>
      <c r="D192" t="str">
        <f>("源樺,")</f>
        <v>源樺,</v>
      </c>
      <c r="E192" t="str">
        <f>("411.3 8753:2-2 2020")</f>
        <v>411.3 8753:2-2 2020</v>
      </c>
      <c r="F192" t="str">
        <f>("2020")</f>
        <v>2020</v>
      </c>
      <c r="G192" t="str">
        <f>("大林慈院藏書區")</f>
        <v>大林慈院藏書區</v>
      </c>
      <c r="H192" t="str">
        <f>("學習資源組")</f>
        <v>學習資源組</v>
      </c>
    </row>
    <row r="193" spans="1:8">
      <c r="A193" t="str">
        <f>("D0006991")</f>
        <v>D0006991</v>
      </c>
      <c r="B193" t="str">
        <f>("橄欖油美容健康法 /")</f>
        <v>橄欖油美容健康法 /</v>
      </c>
      <c r="C193" t="str">
        <f>("大槻彰 ")</f>
        <v xml:space="preserve">大槻彰 </v>
      </c>
      <c r="D193" t="str">
        <f>("暖流,")</f>
        <v>暖流,</v>
      </c>
      <c r="E193" t="str">
        <f>("411.3 8755 2000")</f>
        <v>411.3 8755 2000</v>
      </c>
      <c r="F193" t="str">
        <f>("2000")</f>
        <v>2000</v>
      </c>
      <c r="G193" t="str">
        <f>("大林慈院藏書區")</f>
        <v>大林慈院藏書區</v>
      </c>
    </row>
    <row r="194" spans="1:8">
      <c r="A194" t="str">
        <f>("D0012406")</f>
        <v>D0012406</v>
      </c>
      <c r="B194" t="str">
        <f>("醣類計算:食品營養圖鑑")</f>
        <v>醣類計算:食品營養圖鑑</v>
      </c>
      <c r="C194" t="str">
        <f>("")</f>
        <v/>
      </c>
      <c r="D194" t="str">
        <f>("中華民國糖尿病衛教學會")</f>
        <v>中華民國糖尿病衛教學會</v>
      </c>
      <c r="E194" t="str">
        <f>("411.3 8757 2010")</f>
        <v>411.3 8757 2010</v>
      </c>
      <c r="F194" t="str">
        <f>("2010")</f>
        <v>2010</v>
      </c>
      <c r="G194" t="str">
        <f>("大林慈院單位藏書")</f>
        <v>大林慈院單位藏書</v>
      </c>
      <c r="H194" t="str">
        <f>("護理部")</f>
        <v>護理部</v>
      </c>
    </row>
    <row r="195" spans="1:8">
      <c r="A195" t="str">
        <f>("D0015746")</f>
        <v>D0015746</v>
      </c>
      <c r="B195" t="str">
        <f>("老年生理、營養與老人食品 / ")</f>
        <v xml:space="preserve">老年生理、營養與老人食品 / </v>
      </c>
      <c r="C195" t="str">
        <f>("陳明造編著 ")</f>
        <v xml:space="preserve">陳明造編著 </v>
      </c>
      <c r="D195" t="str">
        <f>("藝軒, ")</f>
        <v xml:space="preserve">藝軒, </v>
      </c>
      <c r="E195" t="str">
        <f>("411.3 8759 2015")</f>
        <v>411.3 8759 2015</v>
      </c>
      <c r="F195" t="str">
        <f>("2015")</f>
        <v>2015</v>
      </c>
      <c r="G195" t="str">
        <f>("大林慈院藏書區")</f>
        <v>大林慈院藏書區</v>
      </c>
      <c r="H195" t="str">
        <f>("腫瘤中心")</f>
        <v>腫瘤中心</v>
      </c>
    </row>
    <row r="196" spans="1:8">
      <c r="A196" t="str">
        <f>("D0015994")</f>
        <v>D0015994</v>
      </c>
      <c r="B196" t="str">
        <f>("銀髮族飲食生活照護全書 :專為65歲以上年長者設計的餐點,吃對食物.營養好均衡,學會照顧自己,並預防與改善身體不適,一起攜手快樂變老! = Senior citizens life style and health care /")</f>
        <v>銀髮族飲食生活照護全書 :專為65歲以上年長者設計的餐點,吃對食物.營養好均衡,學會照顧自己,並預防與改善身體不適,一起攜手快樂變老! = Senior citizens life style and health care /</v>
      </c>
      <c r="C196" t="str">
        <f>("林美慧 ")</f>
        <v xml:space="preserve">林美慧 </v>
      </c>
      <c r="D196" t="str">
        <f>("日日幸福事業,")</f>
        <v>日日幸福事業,</v>
      </c>
      <c r="E196" t="str">
        <f>("411.3 8763 2017")</f>
        <v>411.3 8763 2017</v>
      </c>
      <c r="F196" t="str">
        <f>("2017")</f>
        <v>2017</v>
      </c>
      <c r="G196" t="str">
        <f>("大林慈院藏書區")</f>
        <v>大林慈院藏書區</v>
      </c>
      <c r="H196" t="str">
        <f>("學習資源組")</f>
        <v>學習資源組</v>
      </c>
    </row>
    <row r="197" spans="1:8">
      <c r="A197" t="str">
        <f>("D0011468")</f>
        <v>D0011468</v>
      </c>
      <c r="B197" t="str">
        <f>("臨床營養學 :膳食療養 /")</f>
        <v>臨床營養學 :膳食療養 /</v>
      </c>
      <c r="C197" t="str">
        <f>("陳淑娟著 ")</f>
        <v xml:space="preserve">陳淑娟著 </v>
      </c>
      <c r="D197" t="str">
        <f>("時新出版,")</f>
        <v>時新出版,</v>
      </c>
      <c r="E197" t="str">
        <f>("411.3 8764 2008")</f>
        <v>411.3 8764 2008</v>
      </c>
      <c r="F197" t="str">
        <f>("2008")</f>
        <v>2008</v>
      </c>
      <c r="G197" t="str">
        <f>("大林慈院單位藏書")</f>
        <v>大林慈院單位藏書</v>
      </c>
      <c r="H197" t="str">
        <f>("營養治療科")</f>
        <v>營養治療科</v>
      </c>
    </row>
    <row r="198" spans="1:8">
      <c r="A198" t="str">
        <f>("D0014404")</f>
        <v>D0014404</v>
      </c>
      <c r="B198" t="str">
        <f>("生命期營養 = Nutrition in the life span / ")</f>
        <v xml:space="preserve">生命期營養 = Nutrition in the life span / </v>
      </c>
      <c r="C198" t="str">
        <f>("陳淑子 ")</f>
        <v xml:space="preserve">陳淑子 </v>
      </c>
      <c r="D198" t="str">
        <f>("華騰文化總經銷, ;禾楓書局 : ")</f>
        <v xml:space="preserve">華騰文化總經銷, ;禾楓書局 : </v>
      </c>
      <c r="E198" t="str">
        <f>("411.3 8764:2 2012")</f>
        <v>411.3 8764:2 2012</v>
      </c>
      <c r="F198" t="str">
        <f>("2012")</f>
        <v>2012</v>
      </c>
      <c r="G198" t="str">
        <f>("大林慈院藏書區")</f>
        <v>大林慈院藏書區</v>
      </c>
      <c r="H198" t="str">
        <f>("營養治療科 ")</f>
        <v xml:space="preserve">營養治療科 </v>
      </c>
    </row>
    <row r="199" spans="1:8">
      <c r="A199" t="str">
        <f>("D0013837")</f>
        <v>D0013837</v>
      </c>
      <c r="B199" t="str">
        <f>("營養評估 / ")</f>
        <v xml:space="preserve">營養評估 / </v>
      </c>
      <c r="C199" t="str">
        <f>("陳曉鈴")</f>
        <v>陳曉鈴</v>
      </c>
      <c r="D199" t="str">
        <f>("華杏, ")</f>
        <v xml:space="preserve">華杏, </v>
      </c>
      <c r="E199" t="str">
        <f>("411.3 8765 2013")</f>
        <v>411.3 8765 2013</v>
      </c>
      <c r="F199" t="str">
        <f>("2013")</f>
        <v>2013</v>
      </c>
      <c r="G199" t="str">
        <f>("大林慈院藏書區")</f>
        <v>大林慈院藏書區</v>
      </c>
      <c r="H199" t="str">
        <f>("護理部")</f>
        <v>護理部</v>
      </c>
    </row>
    <row r="200" spans="1:8">
      <c r="A200" t="str">
        <f>("D0014088")</f>
        <v>D0014088</v>
      </c>
      <c r="B200" t="str">
        <f>("營養評估 / ")</f>
        <v xml:space="preserve">營養評估 / </v>
      </c>
      <c r="C200" t="str">
        <f>("陳曉鈴")</f>
        <v>陳曉鈴</v>
      </c>
      <c r="D200" t="str">
        <f>("華杏, ")</f>
        <v xml:space="preserve">華杏, </v>
      </c>
      <c r="E200" t="str">
        <f>("411.3 8765 2013 c.2")</f>
        <v>411.3 8765 2013 c.2</v>
      </c>
      <c r="F200" t="str">
        <f>("2013")</f>
        <v>2013</v>
      </c>
      <c r="G200" t="str">
        <f>("大林慈院藏書區")</f>
        <v>大林慈院藏書區</v>
      </c>
      <c r="H200" t="str">
        <f>("營養治療科")</f>
        <v>營養治療科</v>
      </c>
    </row>
    <row r="201" spans="1:8">
      <c r="A201" t="str">
        <f>("D0016861")</f>
        <v>D0016861</v>
      </c>
      <c r="B201" t="str">
        <f>("老人營養學實務 =Geriatric nutrition in practice /")</f>
        <v>老人營養學實務 =Geriatric nutrition in practice /</v>
      </c>
      <c r="C201" t="str">
        <f>("張美鈴著")</f>
        <v>張美鈴著</v>
      </c>
      <c r="D201" t="str">
        <f>("華都文化,")</f>
        <v>華都文化,</v>
      </c>
      <c r="E201" t="str">
        <f>("411.3 8765:2 2020")</f>
        <v>411.3 8765:2 2020</v>
      </c>
      <c r="F201" t="str">
        <f>("2020")</f>
        <v>2020</v>
      </c>
      <c r="G201" t="str">
        <f>("大林慈院單位藏書")</f>
        <v>大林慈院單位藏書</v>
      </c>
      <c r="H201" t="str">
        <f>("腫瘤中心")</f>
        <v>腫瘤中心</v>
      </c>
    </row>
    <row r="202" spans="1:8">
      <c r="A202" t="str">
        <f>("D0014616")</f>
        <v>D0014616</v>
      </c>
      <c r="B202" t="str">
        <f>("臨床營養學 :膳食療養 /")</f>
        <v>臨床營養學 :膳食療養 /</v>
      </c>
      <c r="C202" t="str">
        <f>("陳淑娟(醫學) ")</f>
        <v xml:space="preserve">陳淑娟(醫學) </v>
      </c>
      <c r="D202" t="str">
        <f>("時新出版,")</f>
        <v>時新出版,</v>
      </c>
      <c r="E202" t="str">
        <f>("411.3 8766 2013 V.1")</f>
        <v>411.3 8766 2013 V.1</v>
      </c>
      <c r="F202" t="str">
        <f>("2013")</f>
        <v>2013</v>
      </c>
      <c r="G202" t="str">
        <f>("大林慈院藏書區")</f>
        <v>大林慈院藏書區</v>
      </c>
      <c r="H202" t="str">
        <f>("營養治療科")</f>
        <v>營養治療科</v>
      </c>
    </row>
    <row r="203" spans="1:8">
      <c r="A203" t="str">
        <f>("D0014617")</f>
        <v>D0014617</v>
      </c>
      <c r="B203" t="str">
        <f>("臨床營養學 :膳食療養 /")</f>
        <v>臨床營養學 :膳食療養 /</v>
      </c>
      <c r="C203" t="str">
        <f>("陳淑娟(醫學) ")</f>
        <v xml:space="preserve">陳淑娟(醫學) </v>
      </c>
      <c r="D203" t="str">
        <f>("時新出版,")</f>
        <v>時新出版,</v>
      </c>
      <c r="E203" t="str">
        <f>("411.3 8766 2013 V.2")</f>
        <v>411.3 8766 2013 V.2</v>
      </c>
      <c r="F203" t="str">
        <f>("2013")</f>
        <v>2013</v>
      </c>
      <c r="G203" t="str">
        <f>("大林慈院藏書區")</f>
        <v>大林慈院藏書區</v>
      </c>
      <c r="H203" t="str">
        <f>("營養治療科")</f>
        <v>營養治療科</v>
      </c>
    </row>
    <row r="204" spans="1:8">
      <c r="A204" t="str">
        <f>("D0014835")</f>
        <v>D0014835</v>
      </c>
      <c r="B204" t="str">
        <f>("飲食大百科事典 : 食物料理、食用方式以及營養、健康與膳食療養指引 / ")</f>
        <v xml:space="preserve">飲食大百科事典 : 食物料理、食用方式以及營養、健康與膳食療養指引 / </v>
      </c>
      <c r="C204" t="str">
        <f>("林淑珍譯 ;吳秀如譯")</f>
        <v>林淑珍譯 ;吳秀如譯</v>
      </c>
      <c r="D204" t="str">
        <f>("合記圖書, ")</f>
        <v xml:space="preserve">合記圖書, </v>
      </c>
      <c r="E204" t="str">
        <f>("411.3 8766:2 2012")</f>
        <v>411.3 8766:2 2012</v>
      </c>
      <c r="F204" t="str">
        <f>("2012")</f>
        <v>2012</v>
      </c>
      <c r="G204" t="str">
        <f>("大林慈院藏書區")</f>
        <v>大林慈院藏書區</v>
      </c>
      <c r="H204" t="str">
        <f>("腫瘤中心")</f>
        <v>腫瘤中心</v>
      </c>
    </row>
    <row r="205" spans="1:8">
      <c r="A205" t="str">
        <f>("D0006640")</f>
        <v>D0006640</v>
      </c>
      <c r="B205" t="str">
        <f>("全食物密碼 =The whole food codes /")</f>
        <v>全食物密碼 =The whole food codes /</v>
      </c>
      <c r="C205" t="str">
        <f>("陳月卿 ")</f>
        <v xml:space="preserve">陳月卿 </v>
      </c>
      <c r="D205" t="str">
        <f>("大開資訊出版,")</f>
        <v>大開資訊出版,</v>
      </c>
      <c r="E205" t="str">
        <f>("411.3 8767 2005")</f>
        <v>411.3 8767 2005</v>
      </c>
      <c r="F205" t="str">
        <f>("2005")</f>
        <v>2005</v>
      </c>
      <c r="G205" t="str">
        <f>("大林慈院藏書區")</f>
        <v>大林慈院藏書區</v>
      </c>
      <c r="H205" t="str">
        <f>("瑜伽社")</f>
        <v>瑜伽社</v>
      </c>
    </row>
    <row r="206" spans="1:8">
      <c r="A206" t="str">
        <f>("D0004721")</f>
        <v>D0004721</v>
      </c>
      <c r="B206" t="str">
        <f>("全食物再發現 =The whole food rediscovery /")</f>
        <v>全食物再發現 =The whole food rediscovery /</v>
      </c>
      <c r="C206" t="str">
        <f>("陳月卿作 ")</f>
        <v xml:space="preserve">陳月卿作 </v>
      </c>
      <c r="D206" t="str">
        <f>("大開資訊出版,")</f>
        <v>大開資訊出版,</v>
      </c>
      <c r="E206" t="str">
        <f>("411.3 8767 2007")</f>
        <v>411.3 8767 2007</v>
      </c>
      <c r="F206" t="str">
        <f>("2007")</f>
        <v>2007</v>
      </c>
      <c r="G206" t="str">
        <f>("大林慈院藏書區")</f>
        <v>大林慈院藏書區</v>
      </c>
    </row>
    <row r="207" spans="1:8">
      <c r="A207" t="str">
        <f>("D0014261")</f>
        <v>D0014261</v>
      </c>
      <c r="B207" t="str">
        <f>("Q寶Q妹食安萬花筒 / ")</f>
        <v xml:space="preserve">Q寶Q妹食安萬花筒 / </v>
      </c>
      <c r="C207" t="str">
        <f>("遠見天下文化")</f>
        <v>遠見天下文化</v>
      </c>
      <c r="D207" t="str">
        <f>("衛生福利部食品藥物管理署, ")</f>
        <v xml:space="preserve">衛生福利部食品藥物管理署, </v>
      </c>
      <c r="E207" t="str">
        <f>("411.3 8767:2 2014")</f>
        <v>411.3 8767:2 2014</v>
      </c>
      <c r="F207" t="str">
        <f>("2014")</f>
        <v>2014</v>
      </c>
      <c r="G207" t="str">
        <f>("大林慈院藏書區")</f>
        <v>大林慈院藏書區</v>
      </c>
      <c r="H207" t="str">
        <f>("營養治療科")</f>
        <v>營養治療科</v>
      </c>
    </row>
    <row r="208" spans="1:8">
      <c r="A208" t="str">
        <f>("D0016859")</f>
        <v>D0016859</v>
      </c>
      <c r="B208" t="str">
        <f>("吃對全食物. 上 / ")</f>
        <v xml:space="preserve">吃對全食物. 上 / </v>
      </c>
      <c r="C208" t="str">
        <f>("陳月卿")</f>
        <v>陳月卿</v>
      </c>
      <c r="D208" t="str">
        <f>("天下文化, ")</f>
        <v xml:space="preserve">天下文化, </v>
      </c>
      <c r="E208" t="str">
        <f>("411.3 8767-2 2020 V.1")</f>
        <v>411.3 8767-2 2020 V.1</v>
      </c>
      <c r="F208" t="str">
        <f>("2020")</f>
        <v>2020</v>
      </c>
      <c r="G208" t="str">
        <f>("大林慈院單位藏書")</f>
        <v>大林慈院單位藏書</v>
      </c>
      <c r="H208" t="str">
        <f>("腫瘤中心")</f>
        <v>腫瘤中心</v>
      </c>
    </row>
    <row r="209" spans="1:8">
      <c r="A209" t="str">
        <f>("D0016860")</f>
        <v>D0016860</v>
      </c>
      <c r="B209" t="str">
        <f>("吃對全食物. 下 / ")</f>
        <v xml:space="preserve">吃對全食物. 下 / </v>
      </c>
      <c r="C209" t="str">
        <f>("陳月卿")</f>
        <v>陳月卿</v>
      </c>
      <c r="D209" t="str">
        <f>("天下文化, ")</f>
        <v xml:space="preserve">天下文化, </v>
      </c>
      <c r="E209" t="str">
        <f>("411.3 8767-2 2020 V.2")</f>
        <v>411.3 8767-2 2020 V.2</v>
      </c>
      <c r="F209" t="str">
        <f>("2020")</f>
        <v>2020</v>
      </c>
      <c r="G209" t="str">
        <f>("大林慈院單位藏書")</f>
        <v>大林慈院單位藏書</v>
      </c>
      <c r="H209" t="str">
        <f>("腫瘤中心")</f>
        <v>腫瘤中心</v>
      </c>
    </row>
    <row r="210" spans="1:8">
      <c r="A210" t="str">
        <f>("D0010515")</f>
        <v>D0010515</v>
      </c>
      <c r="B210" t="str">
        <f>("熱門保健食品全書 =The complete guide to natural health products /")</f>
        <v>熱門保健食品全書 =The complete guide to natural health products /</v>
      </c>
      <c r="C210" t="str">
        <f>("劉璞 ")</f>
        <v xml:space="preserve">劉璞 </v>
      </c>
      <c r="D210" t="str">
        <f>("商周出版,")</f>
        <v>商周出版,</v>
      </c>
      <c r="E210" t="str">
        <f>("411.3 877 2005")</f>
        <v>411.3 877 2005</v>
      </c>
      <c r="F210" t="str">
        <f>("2005")</f>
        <v>2005</v>
      </c>
      <c r="G210" t="str">
        <f>("大林慈院藏書區")</f>
        <v>大林慈院藏書區</v>
      </c>
    </row>
    <row r="211" spans="1:8">
      <c r="A211" t="str">
        <f>("D0014472")</f>
        <v>D0014472</v>
      </c>
      <c r="B211" t="str">
        <f>("臨床營養手冊 / ")</f>
        <v xml:space="preserve">臨床營養手冊 / </v>
      </c>
      <c r="C211" t="str">
        <f>("Heimburger, Douglas C.")</f>
        <v>Heimburger, Douglas C.</v>
      </c>
      <c r="D211" t="str">
        <f>("山東科學技術出版社, ")</f>
        <v xml:space="preserve">山東科學技術出版社, </v>
      </c>
      <c r="E211" t="str">
        <f>("411.3 877:2 2010")</f>
        <v>411.3 877:2 2010</v>
      </c>
      <c r="F211" t="str">
        <f>("2010")</f>
        <v>2010</v>
      </c>
      <c r="G211" t="str">
        <f>("大林慈院藏書區")</f>
        <v>大林慈院藏書區</v>
      </c>
    </row>
    <row r="212" spans="1:8">
      <c r="A212" t="str">
        <f>("D0015784")</f>
        <v>D0015784</v>
      </c>
      <c r="B212" t="str">
        <f>("看得見的營養學 / ")</f>
        <v xml:space="preserve">看得見的營養學 / </v>
      </c>
      <c r="C212" t="str">
        <f>("川島由起子 ")</f>
        <v xml:space="preserve">川島由起子 </v>
      </c>
      <c r="D212" t="str">
        <f>("大是, ")</f>
        <v xml:space="preserve">大是, </v>
      </c>
      <c r="E212" t="str">
        <f>("411.3 8775 2017")</f>
        <v>411.3 8775 2017</v>
      </c>
      <c r="F212" t="str">
        <f>("2017")</f>
        <v>2017</v>
      </c>
      <c r="G212" t="str">
        <f>("大林慈院藏書區")</f>
        <v>大林慈院藏書區</v>
      </c>
      <c r="H212" t="str">
        <f>("腫瘤中心 ")</f>
        <v xml:space="preserve">腫瘤中心 </v>
      </c>
    </row>
    <row r="213" spans="1:8">
      <c r="A213" t="str">
        <f>("D0016602")</f>
        <v>D0016602</v>
      </c>
      <c r="B213" t="str">
        <f>("擇食聖經 : 天下無不死之藥，只有養生之道。 / ")</f>
        <v xml:space="preserve">擇食聖經 : 天下無不死之藥，只有養生之道。 / </v>
      </c>
      <c r="C213" t="str">
        <f>("邱錦伶著")</f>
        <v>邱錦伶著</v>
      </c>
      <c r="D213" t="str">
        <f>("時報文化, ")</f>
        <v xml:space="preserve">時報文化, </v>
      </c>
      <c r="E213" t="str">
        <f>("411.3 8775:2 2017")</f>
        <v>411.3 8775:2 2017</v>
      </c>
      <c r="F213" t="str">
        <f>("2017")</f>
        <v>2017</v>
      </c>
      <c r="G213" t="str">
        <f>("大林慈院藏書區")</f>
        <v>大林慈院藏書區</v>
      </c>
    </row>
    <row r="214" spans="1:8">
      <c r="A214" t="str">
        <f>("D0002674")</f>
        <v>D0002674</v>
      </c>
      <c r="B214" t="str">
        <f>("實用營養學 =Practical nutrition /")</f>
        <v>實用營養學 =Practical nutrition /</v>
      </c>
      <c r="C214" t="str">
        <f>("張振崗(衛生學) ")</f>
        <v xml:space="preserve">張振崗(衛生學) </v>
      </c>
      <c r="D214" t="str">
        <f>("華格那企業,")</f>
        <v>華格那企業,</v>
      </c>
      <c r="E214" t="str">
        <f>("411.3 8776 2008")</f>
        <v>411.3 8776 2008</v>
      </c>
      <c r="F214" t="str">
        <f>("2008")</f>
        <v>2008</v>
      </c>
      <c r="G214" t="str">
        <f>("大林慈院藏書區")</f>
        <v>大林慈院藏書區</v>
      </c>
      <c r="H214" t="str">
        <f>("護理部")</f>
        <v>護理部</v>
      </c>
    </row>
    <row r="215" spans="1:8">
      <c r="A215" t="str">
        <f>("D0016237")</f>
        <v>D0016237</v>
      </c>
      <c r="B215" t="str">
        <f>("吃錯了,當然會生病! :陳俊旭博士的健康飲食寶典 : 全家健康,就從改變飲食習慣開始! /")</f>
        <v>吃錯了,當然會生病! :陳俊旭博士的健康飲食寶典 : 全家健康,就從改變飲食習慣開始! /</v>
      </c>
      <c r="C215" t="str">
        <f>("陳俊旭(醫學),文字作者 ")</f>
        <v xml:space="preserve">陳俊旭(醫學),文字作者 </v>
      </c>
      <c r="D215" t="str">
        <f>("新自然主義 :;幸福綠光股份有限公司,")</f>
        <v>新自然主義 :;幸福綠光股份有限公司,</v>
      </c>
      <c r="E215" t="str">
        <f>("411.3 8796 2018")</f>
        <v>411.3 8796 2018</v>
      </c>
      <c r="F215" t="str">
        <f>("2018")</f>
        <v>2018</v>
      </c>
      <c r="G215" t="str">
        <f>("大林慈院藏書區")</f>
        <v>大林慈院藏書區</v>
      </c>
      <c r="H215" t="str">
        <f>("腫瘤中心 ")</f>
        <v xml:space="preserve">腫瘤中心 </v>
      </c>
    </row>
    <row r="216" spans="1:8">
      <c r="A216" t="str">
        <f>("D0003514")</f>
        <v>D0003514</v>
      </c>
      <c r="B216" t="str">
        <f>("生命期營養 /")</f>
        <v>生命期營養 /</v>
      </c>
      <c r="C216" t="str">
        <f>("布朗(Brown, Judith E.) ")</f>
        <v xml:space="preserve">布朗(Brown, Judith E.) </v>
      </c>
      <c r="D216" t="str">
        <f>("湯姆生出版,")</f>
        <v>湯姆生出版,</v>
      </c>
      <c r="E216" t="str">
        <f>("411.3 8835 2007")</f>
        <v>411.3 8835 2007</v>
      </c>
      <c r="F216" t="str">
        <f>("2007")</f>
        <v>2007</v>
      </c>
      <c r="G216" t="str">
        <f>("大林慈院藏書區")</f>
        <v>大林慈院藏書區</v>
      </c>
      <c r="H216" t="str">
        <f>("護理部")</f>
        <v>護理部</v>
      </c>
    </row>
    <row r="217" spans="1:8">
      <c r="A217" t="str">
        <f>("D0011584")</f>
        <v>D0011584</v>
      </c>
      <c r="B217" t="str">
        <f>("低GI健康飲食全書 =Low glycemic index diet /")</f>
        <v>低GI健康飲食全書 =Low glycemic index diet /</v>
      </c>
      <c r="C217" t="str">
        <f>("吳益群著 ")</f>
        <v xml:space="preserve">吳益群著 </v>
      </c>
      <c r="D217" t="str">
        <f>("原水文化出版,")</f>
        <v>原水文化出版,</v>
      </c>
      <c r="E217" t="str">
        <f>("411.3 8835:2 2010")</f>
        <v>411.3 8835:2 2010</v>
      </c>
      <c r="F217" t="str">
        <f>("2010")</f>
        <v>2010</v>
      </c>
      <c r="G217" t="str">
        <f>("大林慈院藏書區")</f>
        <v>大林慈院藏書區</v>
      </c>
    </row>
    <row r="218" spans="1:8">
      <c r="A218" t="str">
        <f>("D0015745")</f>
        <v>D0015745</v>
      </c>
      <c r="B218" t="str">
        <f>("營養學 =Nutrition /")</f>
        <v>營養學 =Nutrition /</v>
      </c>
      <c r="C218" t="str">
        <f>("葉松鈴 ")</f>
        <v xml:space="preserve">葉松鈴 </v>
      </c>
      <c r="D218" t="str">
        <f>("新文京開發,")</f>
        <v>新文京開發,</v>
      </c>
      <c r="E218" t="str">
        <f>("411.3 8835-2 2017")</f>
        <v>411.3 8835-2 2017</v>
      </c>
      <c r="F218" t="str">
        <f>("2017")</f>
        <v>2017</v>
      </c>
      <c r="G218" t="str">
        <f>("大林慈院藏書區")</f>
        <v>大林慈院藏書區</v>
      </c>
      <c r="H218" t="str">
        <f>("腫瘤中心")</f>
        <v>腫瘤中心</v>
      </c>
    </row>
    <row r="219" spans="1:8">
      <c r="A219" t="str">
        <f>("D0015962")</f>
        <v>D0015962</v>
      </c>
      <c r="B219" t="str">
        <f>("當代營養學 /")</f>
        <v>當代營養學 /</v>
      </c>
      <c r="C219" t="str">
        <f>("史密斯(Smith, Anne M.) ")</f>
        <v xml:space="preserve">史密斯(Smith, Anne M.) </v>
      </c>
      <c r="D219" t="str">
        <f>("麥格羅希爾, 臺灣東華,")</f>
        <v>麥格羅希爾, 臺灣東華,</v>
      </c>
      <c r="E219" t="str">
        <f>("411.3 8845 2017")</f>
        <v>411.3 8845 2017</v>
      </c>
      <c r="F219" t="str">
        <f>("2017")</f>
        <v>2017</v>
      </c>
      <c r="G219" t="str">
        <f>("大林慈院藏書區")</f>
        <v>大林慈院藏書區</v>
      </c>
      <c r="H219" t="str">
        <f>("腫瘤中心")</f>
        <v>腫瘤中心</v>
      </c>
    </row>
    <row r="220" spans="1:8">
      <c r="A220" t="str">
        <f>("D0003121")</f>
        <v>D0003121</v>
      </c>
      <c r="B220" t="str">
        <f>("營養評估 =Nutritional assessment /")</f>
        <v>營養評估 =Nutritional assessment /</v>
      </c>
      <c r="C220" t="str">
        <f>("吳幸娟(衛生學) ")</f>
        <v xml:space="preserve">吳幸娟(衛生學) </v>
      </c>
      <c r="D220" t="str">
        <f>("華格那企業,")</f>
        <v>華格那企業,</v>
      </c>
      <c r="E220" t="str">
        <f>("411.3 8856 2007")</f>
        <v>411.3 8856 2007</v>
      </c>
      <c r="F220" t="str">
        <f>("2007")</f>
        <v>2007</v>
      </c>
      <c r="G220" t="str">
        <f>("大林慈院藏書區")</f>
        <v>大林慈院藏書區</v>
      </c>
      <c r="H220" t="str">
        <f>("護理部")</f>
        <v>護理部</v>
      </c>
    </row>
    <row r="221" spans="1:8">
      <c r="A221" t="str">
        <f>("D0003116")</f>
        <v>D0003116</v>
      </c>
      <c r="B221" t="str">
        <f>("社區營養學 =Community nutrition /")</f>
        <v>社區營養學 =Community nutrition /</v>
      </c>
      <c r="C221" t="str">
        <f>("吳幸娟 ")</f>
        <v xml:space="preserve">吳幸娟 </v>
      </c>
      <c r="D221" t="str">
        <f>("華格那,")</f>
        <v>華格那,</v>
      </c>
      <c r="E221" t="str">
        <f>("411.3 8856 2009")</f>
        <v>411.3 8856 2009</v>
      </c>
      <c r="F221" t="str">
        <f>("2009")</f>
        <v>2009</v>
      </c>
      <c r="G221" t="str">
        <f>("大林慈院藏書區")</f>
        <v>大林慈院藏書區</v>
      </c>
      <c r="H221" t="str">
        <f>("護理部")</f>
        <v>護理部</v>
      </c>
    </row>
    <row r="222" spans="1:8">
      <c r="A222" t="str">
        <f>("D0015795")</f>
        <v>D0015795</v>
      </c>
      <c r="B222" t="str">
        <f>("營養師的餐桌風景 :吳映蓉博士的30道舒適餐食與營養生活學 /")</f>
        <v>營養師的餐桌風景 :吳映蓉博士的30道舒適餐食與營養生活學 /</v>
      </c>
      <c r="C222" t="str">
        <f>("吳映蓉 ")</f>
        <v xml:space="preserve">吳映蓉 </v>
      </c>
      <c r="D222" t="str">
        <f>("大和書報經銷,;凱特文化出版 :")</f>
        <v>大和書報經銷,;凱特文化出版 :</v>
      </c>
      <c r="E222" t="str">
        <f>("411.3 8885 2016")</f>
        <v>411.3 8885 2016</v>
      </c>
      <c r="F222" t="str">
        <f>("2016")</f>
        <v>2016</v>
      </c>
      <c r="G222" t="str">
        <f>("大林慈院藏書區")</f>
        <v>大林慈院藏書區</v>
      </c>
      <c r="H222" t="str">
        <f>("腫瘤中心 ")</f>
        <v xml:space="preserve">腫瘤中心 </v>
      </c>
    </row>
    <row r="223" spans="1:8">
      <c r="A223" t="str">
        <f>("D0015964")</f>
        <v>D0015964</v>
      </c>
      <c r="B223" t="str">
        <f>("一個人到一家人的日常營養學 : 解開6大類食物10種疾病飲食關鍵,營養學博士從身到心都健康的生活提案 / ")</f>
        <v xml:space="preserve">一個人到一家人的日常營養學 : 解開6大類食物10種疾病飲食關鍵,營養學博士從身到心都健康的生活提案 / </v>
      </c>
      <c r="C223" t="str">
        <f>("吳映蓉著")</f>
        <v>吳映蓉著</v>
      </c>
      <c r="D223" t="str">
        <f>("家庭傳媒城邦分公司發行, ;臉譜,城邦文化出版 : ")</f>
        <v xml:space="preserve">家庭傳媒城邦分公司發行, ;臉譜,城邦文化出版 : </v>
      </c>
      <c r="E223" t="str">
        <f>("411.3 8885-2 2017")</f>
        <v>411.3 8885-2 2017</v>
      </c>
      <c r="F223" t="str">
        <f>("2017")</f>
        <v>2017</v>
      </c>
      <c r="G223" t="str">
        <f>("大林慈院藏書區")</f>
        <v>大林慈院藏書區</v>
      </c>
      <c r="H223" t="str">
        <f>("腫瘤中心")</f>
        <v>腫瘤中心</v>
      </c>
    </row>
    <row r="224" spans="1:8">
      <c r="A224" t="str">
        <f>("D0014588")</f>
        <v>D0014588</v>
      </c>
      <c r="B224" t="str">
        <f>("圖解營養學 / ")</f>
        <v xml:space="preserve">圖解營養學 / </v>
      </c>
      <c r="C224" t="str">
        <f>("侯玉珍")</f>
        <v>侯玉珍</v>
      </c>
      <c r="D224" t="str">
        <f>("五南, ")</f>
        <v xml:space="preserve">五南, </v>
      </c>
      <c r="E224" t="str">
        <f>("411.3 8936 2015")</f>
        <v>411.3 8936 2015</v>
      </c>
      <c r="F224" t="str">
        <f>("2015")</f>
        <v>2015</v>
      </c>
      <c r="G224" t="str">
        <f>("大林慈院藏書區")</f>
        <v>大林慈院藏書區</v>
      </c>
      <c r="H224" t="str">
        <f>("營養治療科")</f>
        <v>營養治療科</v>
      </c>
    </row>
    <row r="225" spans="1:8">
      <c r="A225" t="str">
        <f>("D0016999")</f>
        <v>D0016999</v>
      </c>
      <c r="B225" t="str">
        <f>("世界第一好懂!營養素全書 :你一定要知道的3大營養素X13種維生素X15種礦物質X40種機能性成分 /")</f>
        <v>世界第一好懂!營養素全書 :你一定要知道的3大營養素X13種維生素X15種礦物質X40種機能性成分 /</v>
      </c>
      <c r="C225" t="str">
        <f>("牧野直子監修")</f>
        <v>牧野直子監修</v>
      </c>
      <c r="D225" t="str">
        <f>("商周文化, ")</f>
        <v xml:space="preserve">商周文化, </v>
      </c>
      <c r="E225" t="str">
        <f>("411.3 8964 2021")</f>
        <v>411.3 8964 2021</v>
      </c>
      <c r="F225" t="str">
        <f>("2021")</f>
        <v>2021</v>
      </c>
      <c r="G225" t="str">
        <f>("大林慈院單位藏書")</f>
        <v>大林慈院單位藏書</v>
      </c>
      <c r="H225" t="str">
        <f>("腫瘤中心")</f>
        <v>腫瘤中心</v>
      </c>
    </row>
    <row r="226" spans="1:8">
      <c r="A226" t="str">
        <f>("D0009781")</f>
        <v>D0009781</v>
      </c>
      <c r="B226" t="str">
        <f>("生命期營養 :改變一生的飲食計劃 /")</f>
        <v>生命期營養 :改變一生的飲食計劃 /</v>
      </c>
      <c r="C226" t="str">
        <f>("王慧芳(衛生學) ")</f>
        <v xml:space="preserve">王慧芳(衛生學) </v>
      </c>
      <c r="D226" t="str">
        <f>("合記,")</f>
        <v>合記,</v>
      </c>
      <c r="E226" t="str">
        <f>("411.3 8966 2007")</f>
        <v>411.3 8966 2007</v>
      </c>
      <c r="F226" t="str">
        <f>("2007")</f>
        <v>2007</v>
      </c>
      <c r="G226" t="str">
        <f>("大林慈院藏書區")</f>
        <v>大林慈院藏書區</v>
      </c>
    </row>
    <row r="227" spans="1:8">
      <c r="A227" t="str">
        <f>("D0015786")</f>
        <v>D0015786</v>
      </c>
      <c r="B227" t="str">
        <f>("100種水果營養圖典 / ")</f>
        <v xml:space="preserve">100種水果營養圖典 / </v>
      </c>
      <c r="C227" t="str">
        <f>("健康養生堂編委會編著 ")</f>
        <v xml:space="preserve">健康養生堂編委會編著 </v>
      </c>
      <c r="D227" t="str">
        <f>("高見經銷, ;人類智庫數位科技出版 : ")</f>
        <v xml:space="preserve">高見經銷, ;人類智庫數位科技出版 : </v>
      </c>
      <c r="E227" t="str">
        <f>("411.3 8966:2 2015")</f>
        <v>411.3 8966:2 2015</v>
      </c>
      <c r="F227" t="str">
        <f>("2015")</f>
        <v>2015</v>
      </c>
      <c r="G227" t="str">
        <f>("大林慈院藏書區")</f>
        <v>大林慈院藏書區</v>
      </c>
      <c r="H227" t="str">
        <f>("腫瘤中心")</f>
        <v>腫瘤中心</v>
      </c>
    </row>
    <row r="228" spans="1:8">
      <c r="A228" t="str">
        <f>("D0016096")</f>
        <v>D0016096</v>
      </c>
      <c r="B228" t="str">
        <f>("低GL瘦肚沙拉  /")</f>
        <v>低GL瘦肚沙拉  /</v>
      </c>
      <c r="C228" t="str">
        <f>("綠食譜研究所著 ")</f>
        <v xml:space="preserve">綠食譜研究所著 </v>
      </c>
      <c r="D228" t="str">
        <f>("知遠文化總經銷,;臺灣廣廈, 瑞麗美人出版 :")</f>
        <v>知遠文化總經銷,;臺灣廣廈, 瑞麗美人出版 :</v>
      </c>
      <c r="E228" t="str">
        <f>("411.3 8993 2018")</f>
        <v>411.3 8993 2018</v>
      </c>
      <c r="F228" t="str">
        <f>("2018")</f>
        <v>2018</v>
      </c>
      <c r="G228" t="str">
        <f>("大林慈院藏書區")</f>
        <v>大林慈院藏書區</v>
      </c>
      <c r="H228" t="str">
        <f>("學習資源組 ")</f>
        <v xml:space="preserve">學習資源組 </v>
      </c>
    </row>
    <row r="229" spans="1:8">
      <c r="A229" t="str">
        <f>("D0004938")</f>
        <v>D0004938</v>
      </c>
      <c r="B229" t="str">
        <f>("營養問答集 /")</f>
        <v>營養問答集 /</v>
      </c>
      <c r="C229" t="str">
        <f>("梁文薔(食品科學) ")</f>
        <v xml:space="preserve">梁文薔(食品科學) </v>
      </c>
      <c r="D229" t="str">
        <f>("健康世界雜誌發行,")</f>
        <v>健康世界雜誌發行,</v>
      </c>
      <c r="E229" t="str">
        <f>("411.3022 8665 1995")</f>
        <v>411.3022 8665 1995</v>
      </c>
      <c r="F229" t="str">
        <f>("1995")</f>
        <v>1995</v>
      </c>
      <c r="G229" t="str">
        <f>("大林慈院藏書區")</f>
        <v>大林慈院藏書區</v>
      </c>
    </row>
    <row r="230" spans="1:8">
      <c r="A230" t="str">
        <f>("D0012404")</f>
        <v>D0012404</v>
      </c>
      <c r="B230" t="str">
        <f>("台灣常見食品營養圖鑑")</f>
        <v>台灣常見食品營養圖鑑</v>
      </c>
      <c r="C230" t="str">
        <f>("")</f>
        <v/>
      </c>
      <c r="D230" t="str">
        <f>("行政院衛生署")</f>
        <v>行政院衛生署</v>
      </c>
      <c r="E230" t="str">
        <f>("411.3025 8453 1998")</f>
        <v>411.3025 8453 1998</v>
      </c>
      <c r="F230" t="str">
        <f>("1998")</f>
        <v>1998</v>
      </c>
      <c r="G230" t="str">
        <f>("大林慈院單位藏書")</f>
        <v>大林慈院單位藏書</v>
      </c>
      <c r="H230" t="str">
        <f>("護理部")</f>
        <v>護理部</v>
      </c>
    </row>
    <row r="231" spans="1:8">
      <c r="A231" t="str">
        <f>("D0012405")</f>
        <v>D0012405</v>
      </c>
      <c r="B231" t="str">
        <f>("台灣常見食品營養圖鑑")</f>
        <v>台灣常見食品營養圖鑑</v>
      </c>
      <c r="C231" t="str">
        <f>("")</f>
        <v/>
      </c>
      <c r="D231" t="str">
        <f>("行政院衛生署")</f>
        <v>行政院衛生署</v>
      </c>
      <c r="E231" t="str">
        <f>("411.3025 8453 1998 c.2")</f>
        <v>411.3025 8453 1998 c.2</v>
      </c>
      <c r="F231" t="str">
        <f>("1998")</f>
        <v>1998</v>
      </c>
      <c r="G231" t="str">
        <f>("大林慈院單位藏書")</f>
        <v>大林慈院單位藏書</v>
      </c>
      <c r="H231" t="str">
        <f>("護理部")</f>
        <v>護理部</v>
      </c>
    </row>
    <row r="232" spans="1:8">
      <c r="A232" t="str">
        <f>("D0012399")</f>
        <v>D0012399</v>
      </c>
      <c r="B232" t="str">
        <f>("食物代換速查輕圖典 /")</f>
        <v>食物代換速查輕圖典 /</v>
      </c>
      <c r="C232" t="str">
        <f>("郭常勝作 ")</f>
        <v xml:space="preserve">郭常勝作 </v>
      </c>
      <c r="D232" t="str">
        <f>("三采文化,")</f>
        <v>三采文化,</v>
      </c>
      <c r="E232" t="str">
        <f>("411.3025 8467 2009")</f>
        <v>411.3025 8467 2009</v>
      </c>
      <c r="F232" t="str">
        <f>("2009")</f>
        <v>2009</v>
      </c>
      <c r="G232" t="str">
        <f>("大林慈院單位藏書")</f>
        <v>大林慈院單位藏書</v>
      </c>
      <c r="H232" t="str">
        <f>("護理部")</f>
        <v>護理部</v>
      </c>
    </row>
    <row r="233" spans="1:8">
      <c r="A233" t="str">
        <f>("D0002011")</f>
        <v>D0002011</v>
      </c>
      <c r="B233" t="str">
        <f>("臨床營養師手冊 / ")</f>
        <v xml:space="preserve">臨床營養師手冊 / </v>
      </c>
      <c r="C233" t="str">
        <f>("謝明哲等編譯")</f>
        <v>謝明哲等編譯</v>
      </c>
      <c r="D233" t="str">
        <f>("華香園, ")</f>
        <v xml:space="preserve">華香園, </v>
      </c>
      <c r="E233" t="str">
        <f>("411.3026 8254 1990")</f>
        <v>411.3026 8254 1990</v>
      </c>
      <c r="F233" t="str">
        <f>("1990")</f>
        <v>1990</v>
      </c>
      <c r="G233" t="str">
        <f>("大林慈院藏書區")</f>
        <v>大林慈院藏書區</v>
      </c>
    </row>
    <row r="234" spans="1:8">
      <c r="A234" t="str">
        <f>("D0001035")</f>
        <v>D0001035</v>
      </c>
      <c r="B234" t="str">
        <f>("營養學名詞辭典")</f>
        <v>營養學名詞辭典</v>
      </c>
      <c r="C234" t="str">
        <f>("")</f>
        <v/>
      </c>
      <c r="D234" t="str">
        <f>("中華民國營養學會")</f>
        <v>中華民國營養學會</v>
      </c>
      <c r="E234" t="str">
        <f>("411.304 8736 1983")</f>
        <v>411.304 8736 1983</v>
      </c>
      <c r="F234" t="str">
        <f>("1983")</f>
        <v>1983</v>
      </c>
      <c r="G234" t="str">
        <f>("大林慈院藏書區")</f>
        <v>大林慈院藏書區</v>
      </c>
    </row>
    <row r="235" spans="1:8">
      <c r="A235" t="str">
        <f>("D0013347")</f>
        <v>D0013347</v>
      </c>
      <c r="B235" t="str">
        <f>("30秒快速減肥法 = Health, diet &amp; fitness / ")</f>
        <v xml:space="preserve">30秒快速減肥法 = Health, diet &amp; fitness / </v>
      </c>
      <c r="C235" t="str">
        <f>("顏雅芝")</f>
        <v>顏雅芝</v>
      </c>
      <c r="D235" t="str">
        <f>("彩舍國際總經銷, ;大吉出版 ; ")</f>
        <v xml:space="preserve">彩舍國際總經銷, ;大吉出版 ; </v>
      </c>
      <c r="E235" t="str">
        <f>("411.35 8248 2007")</f>
        <v>411.35 8248 2007</v>
      </c>
      <c r="F235" t="str">
        <f>("2007")</f>
        <v>2007</v>
      </c>
      <c r="G235" t="str">
        <f>("大林慈院藏書區")</f>
        <v>大林慈院藏書區</v>
      </c>
    </row>
    <row r="236" spans="1:8">
      <c r="A236" t="str">
        <f>("D0010315")</f>
        <v>D0010315</v>
      </c>
      <c r="B236" t="str">
        <f>("唐安麒瘦身健美湯方 /")</f>
        <v>唐安麒瘦身健美湯方 /</v>
      </c>
      <c r="C236" t="str">
        <f>("唐安麒 ")</f>
        <v xml:space="preserve">唐安麒 </v>
      </c>
      <c r="D236" t="str">
        <f>("圓神,")</f>
        <v>圓神,</v>
      </c>
      <c r="E236" t="str">
        <f>("411.35 8332 1998")</f>
        <v>411.35 8332 1998</v>
      </c>
      <c r="F236" t="str">
        <f>("1998")</f>
        <v>1998</v>
      </c>
      <c r="G236" t="str">
        <f>("大林慈院藏書區")</f>
        <v>大林慈院藏書區</v>
      </c>
    </row>
    <row r="237" spans="1:8">
      <c r="A237" t="str">
        <f>("D0008756")</f>
        <v>D0008756</v>
      </c>
      <c r="B237" t="str">
        <f>("怎樣減肥最健康 /")</f>
        <v>怎樣減肥最健康 /</v>
      </c>
      <c r="C237" t="str">
        <f>("高嵐 ")</f>
        <v xml:space="preserve">高嵐 </v>
      </c>
      <c r="D237" t="str">
        <f>("金菠蘿文化出版,")</f>
        <v>金菠蘿文化出版,</v>
      </c>
      <c r="E237" t="str">
        <f>("411.35 834 1995")</f>
        <v>411.35 834 1995</v>
      </c>
      <c r="F237" t="str">
        <f>("1995")</f>
        <v>1995</v>
      </c>
      <c r="G237" t="str">
        <f>("大林慈院藏書區")</f>
        <v>大林慈院藏書區</v>
      </c>
    </row>
    <row r="238" spans="1:8">
      <c r="A238" t="str">
        <f>("D0006469")</f>
        <v>D0006469</v>
      </c>
      <c r="B238" t="str">
        <f>("啤酒酵母法輕鬆瘦身 /")</f>
        <v>啤酒酵母法輕鬆瘦身 /</v>
      </c>
      <c r="C238" t="str">
        <f>("赤堀博美 ")</f>
        <v xml:space="preserve">赤堀博美 </v>
      </c>
      <c r="D238" t="str">
        <f>("尖端出版,")</f>
        <v>尖端出版,</v>
      </c>
      <c r="E238" t="str">
        <f>("411.35 8353 2001")</f>
        <v>411.35 8353 2001</v>
      </c>
      <c r="F238" t="str">
        <f>("2001")</f>
        <v>2001</v>
      </c>
      <c r="G238" t="str">
        <f>("大林慈院藏書區")</f>
        <v>大林慈院藏書區</v>
      </c>
    </row>
    <row r="239" spans="1:8">
      <c r="A239" t="str">
        <f>("D0010180")</f>
        <v>D0010180</v>
      </c>
      <c r="B239" t="str">
        <f>("好心情瘦身飲食法 /")</f>
        <v>好心情瘦身飲食法 /</v>
      </c>
      <c r="C239" t="str">
        <f>("威特曼(Wurtman, Judith J.) ")</f>
        <v xml:space="preserve">威特曼(Wurtman, Judith J.) </v>
      </c>
      <c r="D239" t="str">
        <f>("天下雜誌出版,")</f>
        <v>天下雜誌出版,</v>
      </c>
      <c r="E239" t="str">
        <f>("411.35 8358 2007")</f>
        <v>411.35 8358 2007</v>
      </c>
      <c r="F239" t="str">
        <f>("2007")</f>
        <v>2007</v>
      </c>
      <c r="G239" t="str">
        <f>("大林慈院藏書區")</f>
        <v>大林慈院藏書區</v>
      </c>
    </row>
    <row r="240" spans="1:8">
      <c r="A240" t="str">
        <f>("D0006505")</f>
        <v>D0006505</v>
      </c>
      <c r="B240" t="str">
        <f>("不怕胖飲食法 /")</f>
        <v>不怕胖飲食法 /</v>
      </c>
      <c r="C240" t="str">
        <f>("蔡麗玲 ")</f>
        <v xml:space="preserve">蔡麗玲 </v>
      </c>
      <c r="D240" t="str">
        <f>("培根,")</f>
        <v>培根,</v>
      </c>
      <c r="E240" t="str">
        <f>("411.35 8453 1994")</f>
        <v>411.35 8453 1994</v>
      </c>
      <c r="F240" t="str">
        <f>("1994")</f>
        <v>1994</v>
      </c>
      <c r="G240" t="str">
        <f>("大林慈院藏書區")</f>
        <v>大林慈院藏書區</v>
      </c>
    </row>
    <row r="241" spans="1:8">
      <c r="A241" t="str">
        <f>("D0013293")</f>
        <v>D0013293</v>
      </c>
      <c r="B241" t="str">
        <f>("越吃越瘦 : 飲食減肥88法 / ")</f>
        <v xml:space="preserve">越吃越瘦 : 飲食減肥88法 / </v>
      </c>
      <c r="C241" t="str">
        <f>("孟慶軒編著 ")</f>
        <v xml:space="preserve">孟慶軒編著 </v>
      </c>
      <c r="D241" t="str">
        <f>("三思堂, ")</f>
        <v xml:space="preserve">三思堂, </v>
      </c>
      <c r="E241" t="str">
        <f>("411.35 8465 2007")</f>
        <v>411.35 8465 2007</v>
      </c>
      <c r="F241" t="str">
        <f>("2007")</f>
        <v>2007</v>
      </c>
      <c r="G241" t="str">
        <f>("大林慈院藏書區")</f>
        <v>大林慈院藏書區</v>
      </c>
    </row>
    <row r="242" spans="1:8">
      <c r="A242" t="str">
        <f>("D0010993")</f>
        <v>D0010993</v>
      </c>
      <c r="B242" t="str">
        <f>("瘦身大美人 /")</f>
        <v>瘦身大美人 /</v>
      </c>
      <c r="C242" t="str">
        <f>("于美人著 ")</f>
        <v xml:space="preserve">于美人著 </v>
      </c>
      <c r="D242" t="str">
        <f>("時報文化,")</f>
        <v>時報文化,</v>
      </c>
      <c r="E242" t="str">
        <f>("411.35 8569 2004")</f>
        <v>411.35 8569 2004</v>
      </c>
      <c r="F242" t="str">
        <f>("2004")</f>
        <v>2004</v>
      </c>
      <c r="G242" t="str">
        <f>("大林慈院藏書區")</f>
        <v>大林慈院藏書區</v>
      </c>
    </row>
    <row r="243" spans="1:8">
      <c r="A243" t="str">
        <f>("D0010983")</f>
        <v>D0010983</v>
      </c>
      <c r="B243" t="str">
        <f>("局部塑身手? /")</f>
        <v>局部塑身手? /</v>
      </c>
      <c r="C243" t="str">
        <f>("田希仁 ")</f>
        <v xml:space="preserve">田希仁 </v>
      </c>
      <c r="D243" t="str">
        <f>("方智,")</f>
        <v>方智,</v>
      </c>
      <c r="E243" t="str">
        <f>("411.35 8576 1999")</f>
        <v>411.35 8576 1999</v>
      </c>
      <c r="F243" t="str">
        <f>("1999")</f>
        <v>1999</v>
      </c>
      <c r="G243" t="str">
        <f>("大林慈院藏書區")</f>
        <v>大林慈院藏書區</v>
      </c>
    </row>
    <row r="244" spans="1:8">
      <c r="A244" t="str">
        <f>("D0000772")</f>
        <v>D0000772</v>
      </c>
      <c r="B244" t="str">
        <f>("後現代瘦身主義 /")</f>
        <v>後現代瘦身主義 /</v>
      </c>
      <c r="C244" t="str">
        <f>("克蘭(Klein, Richard, 1941- )著 ")</f>
        <v xml:space="preserve">克蘭(Klein, Richard, 1941- )著 </v>
      </c>
      <c r="D244" t="str">
        <f>("時報文化,")</f>
        <v>時報文化,</v>
      </c>
      <c r="E244" t="str">
        <f>("411.35 858 2002")</f>
        <v>411.35 858 2002</v>
      </c>
      <c r="F244" t="str">
        <f>("2002")</f>
        <v>2002</v>
      </c>
      <c r="G244" t="str">
        <f>("大林慈院藏書區")</f>
        <v>大林慈院藏書區</v>
      </c>
    </row>
    <row r="245" spans="1:8">
      <c r="A245" t="str">
        <f>("D0009663")</f>
        <v>D0009663</v>
      </c>
      <c r="B245" t="str">
        <f>("那個叫小胖子的我,掰掰 /")</f>
        <v>那個叫小胖子的我,掰掰 /</v>
      </c>
      <c r="C245" t="str">
        <f>("弗勒利希(Frohlich, Susanne, 1962-) ")</f>
        <v xml:space="preserve">弗勒利希(Frohlich, Susanne, 1962-) </v>
      </c>
      <c r="D245" t="str">
        <f>("木馬文化出版,")</f>
        <v>木馬文化出版,</v>
      </c>
      <c r="E245" t="str">
        <f>("411.35 869 2006")</f>
        <v>411.35 869 2006</v>
      </c>
      <c r="F245" t="str">
        <f>("2006")</f>
        <v>2006</v>
      </c>
      <c r="G245" t="str">
        <f>("大林慈院藏書區")</f>
        <v>大林慈院藏書區</v>
      </c>
    </row>
    <row r="246" spans="1:8">
      <c r="A246" t="str">
        <f>("D0006035")</f>
        <v>D0006035</v>
      </c>
      <c r="B246" t="str">
        <f>("胖太太減肥日記 /")</f>
        <v>胖太太減肥日記 /</v>
      </c>
      <c r="C246" t="str">
        <f>("格林(Green, Rosemary) ")</f>
        <v xml:space="preserve">格林(Green, Rosemary) </v>
      </c>
      <c r="D246" t="str">
        <f>("智庫出版,")</f>
        <v>智庫出版,</v>
      </c>
      <c r="E246" t="str">
        <f>("411.35 874 1995")</f>
        <v>411.35 874 1995</v>
      </c>
      <c r="F246" t="str">
        <f>("1995")</f>
        <v>1995</v>
      </c>
      <c r="G246" t="str">
        <f>("大林慈院藏書區")</f>
        <v>大林慈院藏書區</v>
      </c>
    </row>
    <row r="247" spans="1:8">
      <c r="A247" t="str">
        <f>("D0008778")</f>
        <v>D0008778</v>
      </c>
      <c r="B247" t="str">
        <f>("劉伯恩雞尾酒減肥法 /")</f>
        <v>劉伯恩雞尾酒減肥法 /</v>
      </c>
      <c r="C247" t="str">
        <f>("劉伯恩 ")</f>
        <v xml:space="preserve">劉伯恩 </v>
      </c>
      <c r="D247" t="str">
        <f>("高富國際文化出版,")</f>
        <v>高富國際文化出版,</v>
      </c>
      <c r="E247" t="str">
        <f>("411.35 8764 2001")</f>
        <v>411.35 8764 2001</v>
      </c>
      <c r="F247" t="str">
        <f>("2001")</f>
        <v>2001</v>
      </c>
      <c r="G247" t="str">
        <f>("大林慈院藏書區")</f>
        <v>大林慈院藏書區</v>
      </c>
    </row>
    <row r="248" spans="1:8">
      <c r="A248" t="str">
        <f>("D0010529")</f>
        <v>D0010529</v>
      </c>
      <c r="B248" t="str">
        <f>("吃好料瘦一身 :低胰島素享瘦餐減肥零阻力 /")</f>
        <v>吃好料瘦一身 :低胰島素享瘦餐減肥零阻力 /</v>
      </c>
      <c r="C248" t="str">
        <f>("曼尼文化事業有限公司編輯部 ")</f>
        <v xml:space="preserve">曼尼文化事業有限公司編輯部 </v>
      </c>
      <c r="D248" t="str">
        <f>("曼尼文化事業出版,")</f>
        <v>曼尼文化事業出版,</v>
      </c>
      <c r="E248" t="str">
        <f>("411.35 8856 2003")</f>
        <v>411.35 8856 2003</v>
      </c>
      <c r="F248" t="str">
        <f>("2003")</f>
        <v>2003</v>
      </c>
      <c r="G248" t="str">
        <f>("大林慈院藏書區")</f>
        <v>大林慈院藏書區</v>
      </c>
    </row>
    <row r="249" spans="1:8">
      <c r="A249" t="str">
        <f>("D0006046")</f>
        <v>D0006046</v>
      </c>
      <c r="B249" t="str">
        <f>("瓜瘦身手冊 :魔法精油去脂瘦身法 /")</f>
        <v>瓜瘦身手冊 :魔法精油去脂瘦身法 /</v>
      </c>
      <c r="C249" t="str">
        <f>("阿輸吠陀 ;上馬和夫 ;福銳記 ")</f>
        <v xml:space="preserve">阿輸吠陀 ;上馬和夫 ;福銳記 </v>
      </c>
      <c r="D249" t="str">
        <f>("世茂,")</f>
        <v>世茂,</v>
      </c>
      <c r="E249" t="str">
        <f>("411.354 8377 1998")</f>
        <v>411.354 8377 1998</v>
      </c>
      <c r="F249" t="str">
        <f>("1998")</f>
        <v>1998</v>
      </c>
      <c r="G249" t="str">
        <f>("大林慈院藏書區")</f>
        <v>大林慈院藏書區</v>
      </c>
    </row>
    <row r="250" spans="1:8">
      <c r="A250" t="str">
        <f>("D0006034")</f>
        <v>D0006034</v>
      </c>
      <c r="B250" t="str">
        <f>("會呼吸就會瘦 :革命性的呼吸塑身法 /")</f>
        <v>會呼吸就會瘦 :革命性的呼吸塑身法 /</v>
      </c>
      <c r="C250" t="str">
        <f>("林庭歡著 ")</f>
        <v xml:space="preserve">林庭歡著 </v>
      </c>
      <c r="D250" t="str">
        <f>("平安文化,")</f>
        <v>平安文化,</v>
      </c>
      <c r="E250" t="str">
        <f>("411.354 8768 2002")</f>
        <v>411.354 8768 2002</v>
      </c>
      <c r="F250" t="str">
        <f>("2002")</f>
        <v>2002</v>
      </c>
      <c r="G250" t="str">
        <f>("大林慈院藏書區")</f>
        <v>大林慈院藏書區</v>
      </c>
    </row>
    <row r="251" spans="1:8">
      <c r="A251" t="str">
        <f>("D0015597")</f>
        <v>D0015597</v>
      </c>
      <c r="B251" t="str">
        <f>("糖尿病腎病變食譜 /")</f>
        <v>糖尿病腎病變食譜 /</v>
      </c>
      <c r="C251" t="str">
        <f>("許碧惠(食品科學) ")</f>
        <v xml:space="preserve">許碧惠(食品科學) </v>
      </c>
      <c r="D251" t="str">
        <f>("糖尿病衛教學會,")</f>
        <v>糖尿病衛教學會,</v>
      </c>
      <c r="E251" t="str">
        <f>("411.37 8443 2013")</f>
        <v>411.37 8443 2013</v>
      </c>
      <c r="F251" t="str">
        <f>("2013")</f>
        <v>2013</v>
      </c>
      <c r="G251" t="str">
        <f>("大林慈院單位藏書")</f>
        <v>大林慈院單位藏書</v>
      </c>
      <c r="H251" t="str">
        <f>("營養治療科 ")</f>
        <v xml:space="preserve">營養治療科 </v>
      </c>
    </row>
    <row r="252" spans="1:8">
      <c r="A252" t="str">
        <f>("D0015598")</f>
        <v>D0015598</v>
      </c>
      <c r="B252" t="str">
        <f>("糖尿病腎病變食譜 /")</f>
        <v>糖尿病腎病變食譜 /</v>
      </c>
      <c r="C252" t="str">
        <f>("許碧惠(食品科學) ")</f>
        <v xml:space="preserve">許碧惠(食品科學) </v>
      </c>
      <c r="D252" t="str">
        <f>("糖尿病衛教學會,")</f>
        <v>糖尿病衛教學會,</v>
      </c>
      <c r="E252" t="str">
        <f>("411.37 8443 2013 c.2")</f>
        <v>411.37 8443 2013 c.2</v>
      </c>
      <c r="F252" t="str">
        <f>("2013")</f>
        <v>2013</v>
      </c>
      <c r="G252" t="str">
        <f>("大林慈院單位藏書")</f>
        <v>大林慈院單位藏書</v>
      </c>
      <c r="H252" t="str">
        <f>("營養治療科 ")</f>
        <v xml:space="preserve">營養治療科 </v>
      </c>
    </row>
    <row r="253" spans="1:8">
      <c r="A253" t="str">
        <f>("D0014562")</f>
        <v>D0014562</v>
      </c>
      <c r="B253" t="str">
        <f>("營養師&amp;糖尿病醫師的降血糖速效飲食 :歐.美.日糖尿病協會一致推崇!不算GI值、餐餐吃得飽,史上最簡單的123飲食法,效果驚人! /")</f>
        <v>營養師&amp;糖尿病醫師的降血糖速效飲食 :歐.美.日糖尿病協會一致推崇!不算GI值、餐餐吃得飽,史上最簡單的123飲食法,效果驚人! /</v>
      </c>
      <c r="C253" t="str">
        <f>("今井佐惠子author")</f>
        <v>今井佐惠子author</v>
      </c>
      <c r="D253" t="str">
        <f>("知遠文化總經銷,;大樹林出版 :")</f>
        <v>知遠文化總經銷,;大樹林出版 :</v>
      </c>
      <c r="E253" t="str">
        <f>("411.37 8656 2015")</f>
        <v>411.37 8656 2015</v>
      </c>
      <c r="F253" t="str">
        <f>("2015")</f>
        <v>2015</v>
      </c>
      <c r="G253" t="str">
        <f>("大林慈院藏書區")</f>
        <v>大林慈院藏書區</v>
      </c>
      <c r="H253" t="str">
        <f>("營養治療科")</f>
        <v>營養治療科</v>
      </c>
    </row>
    <row r="254" spans="1:8">
      <c r="A254" t="str">
        <f>("D0014855")</f>
        <v>D0014855</v>
      </c>
      <c r="B254" t="str">
        <f>("抗癌營養照護全書 :日本國立癌症研究中心東醫院 /")</f>
        <v>抗癌營養照護全書 :日本國立癌症研究中心東醫院 /</v>
      </c>
      <c r="C254" t="str">
        <f>("大江裕一郎 ")</f>
        <v xml:space="preserve">大江裕一郎 </v>
      </c>
      <c r="D254" t="str">
        <f>("家庭傳媒城邦分公司發行,;原水文化出版 :")</f>
        <v>家庭傳媒城邦分公司發行,;原水文化出版 :</v>
      </c>
      <c r="E254" t="str">
        <f>("411.37 8733 2015")</f>
        <v>411.37 8733 2015</v>
      </c>
      <c r="F254" t="str">
        <f>("2015")</f>
        <v>2015</v>
      </c>
      <c r="G254" t="str">
        <f>("大林慈院藏書區")</f>
        <v>大林慈院藏書區</v>
      </c>
      <c r="H254" t="str">
        <f>("腫瘤中心")</f>
        <v>腫瘤中心</v>
      </c>
    </row>
    <row r="255" spans="1:8">
      <c r="A255" t="str">
        <f>("D0007289")</f>
        <v>D0007289</v>
      </c>
      <c r="B255" t="str">
        <f>("糖尿病食療保健法 /")</f>
        <v>糖尿病食療保健法 /</v>
      </c>
      <c r="C255" t="str">
        <f>("加藤 ;大島清 ;陳明鈺 ")</f>
        <v xml:space="preserve">加藤 ;大島清 ;陳明鈺 </v>
      </c>
      <c r="D255" t="str">
        <f>("禾揚出版,")</f>
        <v>禾揚出版,</v>
      </c>
      <c r="E255" t="str">
        <f>("411.37 8773 1997")</f>
        <v>411.37 8773 1997</v>
      </c>
      <c r="F255" t="str">
        <f>("1997")</f>
        <v>1997</v>
      </c>
      <c r="G255" t="str">
        <f>("大林慈院藏書區")</f>
        <v>大林慈院藏書區</v>
      </c>
    </row>
    <row r="256" spans="1:8">
      <c r="A256" t="str">
        <f>("D0016671")</f>
        <v>D0016671</v>
      </c>
      <c r="B256" t="str">
        <f>("全植物飲食．營養全書 :國際蔬食營養界先驅，以最新科學實證與營養學觀點，為你打造最專業的飲食指南 /")</f>
        <v>全植物飲食．營養全書 :國際蔬食營養界先驅，以最新科學實證與營養學觀點，為你打造最專業的飲食指南 /</v>
      </c>
      <c r="C256" t="str">
        <f>("戴維斯(Davis,Brenda)著")</f>
        <v>戴維斯(Davis,Brenda)著</v>
      </c>
      <c r="D256" t="str">
        <f>("漫遊者文化 ,")</f>
        <v>漫遊者文化 ,</v>
      </c>
      <c r="E256" t="str">
        <f>("411.371 8365 2020")</f>
        <v>411.371 8365 2020</v>
      </c>
      <c r="F256" t="str">
        <f>("2020")</f>
        <v>2020</v>
      </c>
      <c r="G256" t="str">
        <f>("大林慈院藏書區")</f>
        <v>大林慈院藏書區</v>
      </c>
      <c r="H256" t="str">
        <f>("營養治療科")</f>
        <v>營養治療科</v>
      </c>
    </row>
    <row r="257" spans="1:8">
      <c r="A257" t="str">
        <f>("D0007504")</f>
        <v>D0007504</v>
      </c>
      <c r="B257" t="str">
        <f>("素食生食與健康")</f>
        <v>素食生食與健康</v>
      </c>
      <c r="C257" t="str">
        <f>("")</f>
        <v/>
      </c>
      <c r="D257" t="str">
        <f>("和裕,")</f>
        <v>和裕,</v>
      </c>
      <c r="E257" t="str">
        <f>("411.371 8396 2003")</f>
        <v>411.371 8396 2003</v>
      </c>
      <c r="F257" t="str">
        <f>("2003")</f>
        <v>2003</v>
      </c>
      <c r="G257" t="str">
        <f>("大林慈院藏書區")</f>
        <v>大林慈院藏書區</v>
      </c>
    </row>
    <row r="258" spans="1:8">
      <c r="A258" t="str">
        <f>("D0016908")</f>
        <v>D0016908</v>
      </c>
      <c r="B258" t="str">
        <f>("腸樂我淨?素無量心 /")</f>
        <v>腸樂我淨?素無量心 /</v>
      </c>
      <c r="C258" t="str">
        <f>("王本榮著")</f>
        <v>王本榮著</v>
      </c>
      <c r="D258" t="str">
        <f>("聯經, ")</f>
        <v xml:space="preserve">聯經, </v>
      </c>
      <c r="E258" t="str">
        <f>("411.371 8446 2021")</f>
        <v>411.371 8446 2021</v>
      </c>
      <c r="F258" t="str">
        <f>("2021")</f>
        <v>2021</v>
      </c>
      <c r="G258" t="str">
        <f>("大林慈院藏書區")</f>
        <v>大林慈院藏書區</v>
      </c>
    </row>
    <row r="259" spans="1:8">
      <c r="A259" t="str">
        <f>("D0014806")</f>
        <v>D0014806</v>
      </c>
      <c r="B259" t="str">
        <f>("素食健康．地球與心靈 / ")</f>
        <v xml:space="preserve">素食健康．地球與心靈 / </v>
      </c>
      <c r="C259" t="str">
        <f>("林俊龍著 ")</f>
        <v xml:space="preserve">林俊龍著 </v>
      </c>
      <c r="D259" t="str">
        <f>("經典雜誌,慈濟傳播人文志業基金會, ")</f>
        <v xml:space="preserve">經典雜誌,慈濟傳播人文志業基金會, </v>
      </c>
      <c r="E259" t="str">
        <f>("411.371 8793 2012")</f>
        <v>411.371 8793 2012</v>
      </c>
      <c r="F259" t="str">
        <f>("2012")</f>
        <v>2012</v>
      </c>
      <c r="G259" t="str">
        <f>("大林慈院慈濟專區")</f>
        <v>大林慈院慈濟專區</v>
      </c>
    </row>
    <row r="260" spans="1:8">
      <c r="A260" t="str">
        <f>("D0014586")</f>
        <v>D0014586</v>
      </c>
      <c r="B260" t="str">
        <f>("謝明哲博士的保健食品全事典 /")</f>
        <v>謝明哲博士的保健食品全事典 /</v>
      </c>
      <c r="C260" t="str">
        <f>("謝明哲")</f>
        <v>謝明哲</v>
      </c>
      <c r="D260" t="str">
        <f>("三采文化,")</f>
        <v>三采文化,</v>
      </c>
      <c r="E260" t="str">
        <f>("411.373 8254 2015")</f>
        <v>411.373 8254 2015</v>
      </c>
      <c r="F260" t="str">
        <f>("2015")</f>
        <v>2015</v>
      </c>
      <c r="G260" t="str">
        <f>("大林慈院藏書區")</f>
        <v>大林慈院藏書區</v>
      </c>
      <c r="H260" t="str">
        <f>("營養治療科")</f>
        <v>營養治療科</v>
      </c>
    </row>
    <row r="261" spans="1:8">
      <c r="A261" t="str">
        <f>("D0014660")</f>
        <v>D0014660</v>
      </c>
      <c r="B261" t="str">
        <f>("植物蛋白質的神奇力量 : 兼具高營養與零負擔的人體第一營養素 / ")</f>
        <v xml:space="preserve">植物蛋白質的神奇力量 : 兼具高營養與零負擔的人體第一營養素 / </v>
      </c>
      <c r="C261" t="str">
        <f>("丁彥伶著 ")</f>
        <v xml:space="preserve">丁彥伶著 </v>
      </c>
      <c r="D261" t="str">
        <f>("大和書報總經銷, ;遠見天下出版 ; ")</f>
        <v xml:space="preserve">大和書報總經銷, ;遠見天下出版 ; </v>
      </c>
      <c r="E261" t="str">
        <f>("411.38 8555 2014")</f>
        <v>411.38 8555 2014</v>
      </c>
      <c r="F261" t="str">
        <f>("2014")</f>
        <v>2014</v>
      </c>
      <c r="G261" t="str">
        <f>("大林慈院藏書區")</f>
        <v>大林慈院藏書區</v>
      </c>
    </row>
    <row r="262" spans="1:8">
      <c r="A262" t="str">
        <f>("D0016080")</f>
        <v>D0016080</v>
      </c>
      <c r="B262" t="str">
        <f>("飲料大騙局 :第一手飲料廠商不敢說的真相.前食品公司員工挺身吐露告白 /")</f>
        <v>飲料大騙局 :第一手飲料廠商不敢說的真相.前食品公司員工挺身吐露告白 /</v>
      </c>
      <c r="C262" t="str">
        <f>("黃太瑛 ")</f>
        <v xml:space="preserve">黃太瑛 </v>
      </c>
      <c r="D262" t="str">
        <f>("采實文化,")</f>
        <v>采實文化,</v>
      </c>
      <c r="E262" t="str">
        <f>("411.4 8337 2015")</f>
        <v>411.4 8337 2015</v>
      </c>
      <c r="F262" t="str">
        <f>("2015")</f>
        <v>2015</v>
      </c>
      <c r="G262" t="str">
        <f>("大林慈院藏書區")</f>
        <v>大林慈院藏書區</v>
      </c>
      <c r="H262" t="str">
        <f>("營養治療科")</f>
        <v>營養治療科</v>
      </c>
    </row>
    <row r="263" spans="1:8">
      <c r="A263" t="str">
        <f>("D0006029")</f>
        <v>D0006029</v>
      </c>
      <c r="B263" t="str">
        <f>("醋的健康法 /")</f>
        <v>醋的健康法 /</v>
      </c>
      <c r="C263" t="str">
        <f>("松尾通 ;陳明鈺 ")</f>
        <v xml:space="preserve">松尾通 ;陳明鈺 </v>
      </c>
      <c r="D263" t="str">
        <f>("禾揚,")</f>
        <v>禾揚,</v>
      </c>
      <c r="E263" t="str">
        <f>("411.4 8357 1996")</f>
        <v>411.4 8357 1996</v>
      </c>
      <c r="F263" t="str">
        <f>("1996")</f>
        <v>1996</v>
      </c>
      <c r="G263" t="str">
        <f>("大林慈院藏書區")</f>
        <v>大林慈院藏書區</v>
      </c>
    </row>
    <row r="264" spans="1:8">
      <c r="A264" t="str">
        <f>("D0006973")</f>
        <v>D0006973</v>
      </c>
      <c r="B264" t="str">
        <f>("π水驚人的效果 /")</f>
        <v>π水驚人的效果 /</v>
      </c>
      <c r="C264" t="str">
        <f>("田山淳 ")</f>
        <v xml:space="preserve">田山淳 </v>
      </c>
      <c r="D264" t="str">
        <f>("正義出版,")</f>
        <v>正義出版,</v>
      </c>
      <c r="E264" t="str">
        <f>("411.4 8563 1996")</f>
        <v>411.4 8563 1996</v>
      </c>
      <c r="F264" t="str">
        <f>("1996")</f>
        <v>1996</v>
      </c>
      <c r="G264" t="str">
        <f>("大林慈院藏書區")</f>
        <v>大林慈院藏書區</v>
      </c>
    </row>
    <row r="265" spans="1:8">
      <c r="A265" t="str">
        <f>("D0006974")</f>
        <v>D0006974</v>
      </c>
      <c r="B265" t="str">
        <f>("π水. 最好的健康水 /")</f>
        <v>π水. 最好的健康水 /</v>
      </c>
      <c r="C265" t="str">
        <f>("如雲工作室 ")</f>
        <v xml:space="preserve">如雲工作室 </v>
      </c>
      <c r="D265" t="str">
        <f>("安立出版,")</f>
        <v>安立出版,</v>
      </c>
      <c r="E265" t="str">
        <f>("411.4 8634 1999")</f>
        <v>411.4 8634 1999</v>
      </c>
      <c r="F265" t="str">
        <f>("1999")</f>
        <v>1999</v>
      </c>
      <c r="G265" t="str">
        <f>("大林慈院藏書區")</f>
        <v>大林慈院藏書區</v>
      </c>
    </row>
    <row r="266" spans="1:8">
      <c r="A266" t="str">
        <f>("D0006975")</f>
        <v>D0006975</v>
      </c>
      <c r="B266" t="str">
        <f>("神奇的π :WATER /")</f>
        <v>神奇的π :WATER /</v>
      </c>
      <c r="C266" t="str">
        <f>("牧野伸治著 ")</f>
        <v xml:space="preserve">牧野伸治著 </v>
      </c>
      <c r="D266" t="str">
        <f>("正義出版,")</f>
        <v>正義出版,</v>
      </c>
      <c r="E266" t="str">
        <f>("411.4 8967 2000")</f>
        <v>411.4 8967 2000</v>
      </c>
      <c r="F266" t="str">
        <f>("2000")</f>
        <v>2000</v>
      </c>
      <c r="G266" t="str">
        <f>("大林慈院藏書區")</f>
        <v>大林慈院藏書區</v>
      </c>
    </row>
    <row r="267" spans="1:8">
      <c r="A267" t="str">
        <f>("D0016886")</f>
        <v>D0016886</v>
      </c>
      <c r="B267" t="str">
        <f>("Drink Right!聰明喝水治百病 / ")</f>
        <v xml:space="preserve">Drink Right!聰明喝水治百病 / </v>
      </c>
      <c r="C267" t="str">
        <f>("柯仁弘著")</f>
        <v>柯仁弘著</v>
      </c>
      <c r="D267" t="str">
        <f>("活泉書坊出版 : ;采舍國際有限公司發行, ")</f>
        <v xml:space="preserve">活泉書坊出版 : ;采舍國際有限公司發行, </v>
      </c>
      <c r="E267" t="str">
        <f>("411.41 8563 2015")</f>
        <v>411.41 8563 2015</v>
      </c>
      <c r="F267" t="str">
        <f>("2015")</f>
        <v>2015</v>
      </c>
      <c r="G267" t="str">
        <f>("大林慈院藏書區")</f>
        <v>大林慈院藏書區</v>
      </c>
    </row>
    <row r="268" spans="1:8">
      <c r="A268" t="str">
        <f>("D0002882")</f>
        <v>D0002882</v>
      </c>
      <c r="B268" t="str">
        <f>("五分鐘小睡健康法")</f>
        <v>五分鐘小睡健康法</v>
      </c>
      <c r="C268" t="str">
        <f>("呂添發")</f>
        <v>呂添發</v>
      </c>
      <c r="D268" t="str">
        <f>("大展")</f>
        <v>大展</v>
      </c>
      <c r="E268" t="str">
        <f>("411.7  8354 1987")</f>
        <v>411.7  8354 1987</v>
      </c>
      <c r="F268" t="str">
        <f>("1987")</f>
        <v>1987</v>
      </c>
      <c r="G268" t="str">
        <f>("大林慈院藏書區")</f>
        <v>大林慈院藏書區</v>
      </c>
    </row>
    <row r="269" spans="1:8">
      <c r="A269" t="str">
        <f>("D0007269")</f>
        <v>D0007269</v>
      </c>
      <c r="B269" t="str">
        <f>("圖解慢性疲勞治療法 /")</f>
        <v>圖解慢性疲勞治療法 /</v>
      </c>
      <c r="C269" t="str">
        <f>("松原英多 ")</f>
        <v xml:space="preserve">松原英多 </v>
      </c>
      <c r="D269" t="str">
        <f>("禾揚,")</f>
        <v>禾揚,</v>
      </c>
      <c r="E269" t="str">
        <f>("411.7 8338 1996")</f>
        <v>411.7 8338 1996</v>
      </c>
      <c r="F269" t="str">
        <f>("1996")</f>
        <v>1996</v>
      </c>
      <c r="G269" t="str">
        <f>("大林慈院藏書區")</f>
        <v>大林慈院藏書區</v>
      </c>
    </row>
    <row r="270" spans="1:8">
      <c r="A270" t="str">
        <f>("D0007015")</f>
        <v>D0007015</v>
      </c>
      <c r="B270" t="str">
        <f>("基礎瑜珈美容 /")</f>
        <v>基礎瑜珈美容 /</v>
      </c>
      <c r="C270" t="str">
        <f>("蔡佩倫 ")</f>
        <v xml:space="preserve">蔡佩倫 </v>
      </c>
      <c r="D270" t="str">
        <f>("福利文化,")</f>
        <v>福利文化,</v>
      </c>
      <c r="E270" t="str">
        <f>("411.7 8477 1994")</f>
        <v>411.7 8477 1994</v>
      </c>
      <c r="F270" t="str">
        <f>("1994")</f>
        <v>1994</v>
      </c>
      <c r="G270" t="str">
        <f>("大林慈院藏書區")</f>
        <v>大林慈院藏書區</v>
      </c>
    </row>
    <row r="271" spans="1:8">
      <c r="A271" t="str">
        <f>("D0007216")</f>
        <v>D0007216</v>
      </c>
      <c r="B271" t="str">
        <f>("怎樣步行最健康 /")</f>
        <v>怎樣步行最健康 /</v>
      </c>
      <c r="C271" t="str">
        <f>("阿久津邦男 ")</f>
        <v xml:space="preserve">阿久津邦男 </v>
      </c>
      <c r="D271" t="str">
        <f>("金菠蘿出版,")</f>
        <v>金菠蘿出版,</v>
      </c>
      <c r="E271" t="str">
        <f>("411.7 8594 1995")</f>
        <v>411.7 8594 1995</v>
      </c>
      <c r="F271" t="str">
        <f>("1995")</f>
        <v>1995</v>
      </c>
      <c r="G271" t="str">
        <f>("大林慈院藏書區")</f>
        <v>大林慈院藏書區</v>
      </c>
    </row>
    <row r="272" spans="1:8">
      <c r="A272" t="str">
        <f>("D0007026")</f>
        <v>D0007026</v>
      </c>
      <c r="B272" t="str">
        <f>("瑜伽專集 /")</f>
        <v>瑜伽專集 /</v>
      </c>
      <c r="C272" t="str">
        <f>("謄本憲幸 ")</f>
        <v xml:space="preserve">謄本憲幸 </v>
      </c>
      <c r="D272" t="str">
        <f>("頂淵,")</f>
        <v>頂淵,</v>
      </c>
      <c r="E272" t="str">
        <f>("411.7 8642 1993")</f>
        <v>411.7 8642 1993</v>
      </c>
      <c r="F272" t="str">
        <f>("1993")</f>
        <v>1993</v>
      </c>
      <c r="G272" t="str">
        <f>("大林慈院藏書區")</f>
        <v>大林慈院藏書區</v>
      </c>
    </row>
    <row r="273" spans="1:8">
      <c r="A273" t="str">
        <f>("D0007725")</f>
        <v>D0007725</v>
      </c>
      <c r="B273" t="str">
        <f>("新手學瑜珈 /")</f>
        <v>新手學瑜珈 /</v>
      </c>
      <c r="C273" t="str">
        <f>("深堀真由美原著編輯 ")</f>
        <v xml:space="preserve">深堀真由美原著編輯 </v>
      </c>
      <c r="D273" t="str">
        <f>("暢文,")</f>
        <v>暢文,</v>
      </c>
      <c r="E273" t="str">
        <f>("411.7 8653 2005")</f>
        <v>411.7 8653 2005</v>
      </c>
      <c r="F273" t="str">
        <f>("2005")</f>
        <v>2005</v>
      </c>
      <c r="G273" t="str">
        <f>("大林慈院藏書區")</f>
        <v>大林慈院藏書區</v>
      </c>
    </row>
    <row r="274" spans="1:8">
      <c r="A274" t="str">
        <f>("D0011512")</f>
        <v>D0011512</v>
      </c>
      <c r="B274" t="str">
        <f>("肩頸腰背痛.骨刺.五十肩.電腦手 :向疼痛說不 /")</f>
        <v>肩頸腰背痛.骨刺.五十肩.電腦手 :向疼痛說不 /</v>
      </c>
      <c r="C274" t="str">
        <f>("陳家恩 ")</f>
        <v xml:space="preserve">陳家恩 </v>
      </c>
      <c r="D274" t="str">
        <f>("如何,")</f>
        <v>如何,</v>
      </c>
      <c r="E274" t="str">
        <f>("411.7 8764 2004")</f>
        <v>411.7 8764 2004</v>
      </c>
      <c r="F274" t="str">
        <f>("2004")</f>
        <v>2004</v>
      </c>
      <c r="G274" t="str">
        <f>("大林慈院藏書區")</f>
        <v>大林慈院藏書區</v>
      </c>
    </row>
    <row r="275" spans="1:8">
      <c r="A275" t="str">
        <f>("D0000296")</f>
        <v>D0000296</v>
      </c>
      <c r="B275" t="str">
        <f>("回到身體的家 /")</f>
        <v>回到身體的家 /</v>
      </c>
      <c r="C275" t="str">
        <f>("林秀偉著 ")</f>
        <v xml:space="preserve">林秀偉著 </v>
      </c>
      <c r="D275" t="str">
        <f>("時報文化,")</f>
        <v>時報文化,</v>
      </c>
      <c r="E275" t="str">
        <f>("411.7 8767 1998")</f>
        <v>411.7 8767 1998</v>
      </c>
      <c r="F275" t="str">
        <f>("1998")</f>
        <v>1998</v>
      </c>
      <c r="G275" t="str">
        <f>("大林慈院藏書區")</f>
        <v>大林慈院藏書區</v>
      </c>
    </row>
    <row r="276" spans="1:8">
      <c r="A276" t="str">
        <f>("D0007412")</f>
        <v>D0007412</v>
      </c>
      <c r="B276" t="str">
        <f>("解讀健康檢查 /")</f>
        <v>解讀健康檢查 /</v>
      </c>
      <c r="C276" t="str">
        <f>("安田和人著 ")</f>
        <v xml:space="preserve">安田和人著 </v>
      </c>
      <c r="D276" t="str">
        <f>("台灣東販,")</f>
        <v>台灣東販,</v>
      </c>
      <c r="E276" t="str">
        <f>("411.7 8967 1995")</f>
        <v>411.7 8967 1995</v>
      </c>
      <c r="F276" t="str">
        <f>("1995")</f>
        <v>1995</v>
      </c>
      <c r="G276" t="str">
        <f>("大林慈院藏書區")</f>
        <v>大林慈院藏書區</v>
      </c>
    </row>
    <row r="277" spans="1:8">
      <c r="A277" t="str">
        <f>("D0016119")</f>
        <v>D0016119</v>
      </c>
      <c r="B277" t="str">
        <f>("筋膜線按摩伸展全書 :沿著6條筋膜線,找出真正疼痛點!84組對症.部位.強化的全方位按摩法 /")</f>
        <v>筋膜線按摩伸展全書 :沿著6條筋膜線,找出真正疼痛點!84組對症.部位.強化的全方位按摩法 /</v>
      </c>
      <c r="C277" t="str">
        <f>("俐雯")</f>
        <v>俐雯</v>
      </c>
      <c r="D277" t="str">
        <f>("采實文化,")</f>
        <v>采實文化,</v>
      </c>
      <c r="E277" t="str">
        <f>("411.71 8277 2018")</f>
        <v>411.71 8277 2018</v>
      </c>
      <c r="F277" t="str">
        <f>("2018")</f>
        <v>2018</v>
      </c>
      <c r="G277" t="str">
        <f>("大林慈院藏書區")</f>
        <v>大林慈院藏書區</v>
      </c>
    </row>
    <row r="278" spans="1:8">
      <c r="A278" t="str">
        <f>("D0005687")</f>
        <v>D0005687</v>
      </c>
      <c r="B278" t="str">
        <f>("三分鐘運動 :恢復體力效果驚人 /")</f>
        <v>三分鐘運動 :恢復體力效果驚人 /</v>
      </c>
      <c r="C278" t="str">
        <f>("窪田登著 ")</f>
        <v xml:space="preserve">窪田登著 </v>
      </c>
      <c r="D278" t="str">
        <f>("台視文化,")</f>
        <v>台視文化,</v>
      </c>
      <c r="E278" t="str">
        <f>("411.71 8354 1985")</f>
        <v>411.71 8354 1985</v>
      </c>
      <c r="F278" t="str">
        <f>("1985")</f>
        <v>1985</v>
      </c>
      <c r="G278" t="str">
        <f>("大林慈院藏書區")</f>
        <v>大林慈院藏書區</v>
      </c>
    </row>
    <row r="279" spans="1:8">
      <c r="A279" t="str">
        <f>("D0007253")</f>
        <v>D0007253</v>
      </c>
      <c r="B279" t="str">
        <f>("有氧體操百分百 /")</f>
        <v>有氧體操百分百 /</v>
      </c>
      <c r="C279" t="str">
        <f>("陳明鈺譯 ;高田順子監修 ")</f>
        <v xml:space="preserve">陳明鈺譯 ;高田順子監修 </v>
      </c>
      <c r="D279" t="str">
        <f>("禾揚出版,")</f>
        <v>禾揚出版,</v>
      </c>
      <c r="E279" t="str">
        <f>("411.71 8354 1997")</f>
        <v>411.71 8354 1997</v>
      </c>
      <c r="F279" t="str">
        <f>("1997")</f>
        <v>1997</v>
      </c>
      <c r="G279" t="str">
        <f>("大林慈院藏書區")</f>
        <v>大林慈院藏書區</v>
      </c>
    </row>
    <row r="280" spans="1:8">
      <c r="A280" t="str">
        <f>("D0016097")</f>
        <v>D0016097</v>
      </c>
      <c r="B280" t="str">
        <f>("奇蹟抬腰術 : 不管幾歲開始都有效的腿臀肌力訓練法 / ")</f>
        <v xml:space="preserve">奇蹟抬腰術 : 不管幾歲開始都有效的腿臀肌力訓練法 / </v>
      </c>
      <c r="C280" t="str">
        <f>("鄭信義")</f>
        <v>鄭信義</v>
      </c>
      <c r="D280" t="str">
        <f>("出色, ")</f>
        <v xml:space="preserve">出色, </v>
      </c>
      <c r="E280" t="str">
        <f>("411.71 8462 2018")</f>
        <v>411.71 8462 2018</v>
      </c>
      <c r="F280" t="str">
        <f>("2018")</f>
        <v>2018</v>
      </c>
      <c r="G280" t="str">
        <f>("大林慈院藏書區")</f>
        <v>大林慈院藏書區</v>
      </c>
      <c r="H280" t="str">
        <f>("學習資源組")</f>
        <v>學習資源組</v>
      </c>
    </row>
    <row r="281" spans="1:8">
      <c r="A281" t="str">
        <f>("D0017030")</f>
        <v>D0017030</v>
      </c>
      <c r="B281" t="str">
        <f>("核心逆齡節拍超慢跑 :徒手慢養好肌力，幫你去油肚、解疼痛、降三高、增加骨密度與代謝力，抗老化擺脫肌少症! /")</f>
        <v>核心逆齡節拍超慢跑 :徒手慢養好肌力，幫你去油肚、解疼痛、降三高、增加骨密度與代謝力，抗老化擺脫肌少症! /</v>
      </c>
      <c r="C281" t="str">
        <f>("徐棟英,文字作者 ")</f>
        <v xml:space="preserve">徐棟英,文字作者 </v>
      </c>
      <c r="D281" t="str">
        <f>("境好出版事業 ,")</f>
        <v>境好出版事業 ,</v>
      </c>
      <c r="E281" t="str">
        <f>("411.71 8578 2022")</f>
        <v>411.71 8578 2022</v>
      </c>
      <c r="F281" t="str">
        <f>("2022")</f>
        <v>2022</v>
      </c>
      <c r="G281" t="str">
        <f>("大林慈院藏書區")</f>
        <v>大林慈院藏書區</v>
      </c>
      <c r="H281" t="str">
        <f>("學習資源組")</f>
        <v>學習資源組</v>
      </c>
    </row>
    <row r="282" spans="1:8">
      <c r="A282" t="str">
        <f>("D0015693")</f>
        <v>D0015693</v>
      </c>
      <c r="B282" t="str">
        <f>("高齡者的運動與全人健康 = Exercise and wellness for senior adults / ")</f>
        <v xml:space="preserve">高齡者的運動與全人健康 = Exercise and wellness for senior adults / </v>
      </c>
      <c r="C282" t="str">
        <f>("方進隆作")</f>
        <v>方進隆作</v>
      </c>
      <c r="D282" t="str">
        <f>("華都文化, ")</f>
        <v xml:space="preserve">華都文化, </v>
      </c>
      <c r="E282" t="str">
        <f>("411.71 8594 2015")</f>
        <v>411.71 8594 2015</v>
      </c>
      <c r="F282" t="str">
        <f>("2015")</f>
        <v>2015</v>
      </c>
      <c r="G282" t="str">
        <f>("大林慈院藏書區")</f>
        <v>大林慈院藏書區</v>
      </c>
      <c r="H282" t="str">
        <f>("護理部")</f>
        <v>護理部</v>
      </c>
    </row>
    <row r="283" spans="1:8">
      <c r="A283" t="str">
        <f>("D0015694")</f>
        <v>D0015694</v>
      </c>
      <c r="B283" t="str">
        <f>("高齡者的運動與全人健康 = Exercise and wellness for senior adults / ")</f>
        <v xml:space="preserve">高齡者的運動與全人健康 = Exercise and wellness for senior adults / </v>
      </c>
      <c r="C283" t="str">
        <f>("方進隆作")</f>
        <v>方進隆作</v>
      </c>
      <c r="D283" t="str">
        <f>("華都文化, ")</f>
        <v xml:space="preserve">華都文化, </v>
      </c>
      <c r="E283" t="str">
        <f>("411.71 8594 2015 c.2")</f>
        <v>411.71 8594 2015 c.2</v>
      </c>
      <c r="F283" t="str">
        <f>("2015")</f>
        <v>2015</v>
      </c>
      <c r="G283" t="str">
        <f>("大林慈院藏書區")</f>
        <v>大林慈院藏書區</v>
      </c>
      <c r="H283" t="str">
        <f>("護理部")</f>
        <v>護理部</v>
      </c>
    </row>
    <row r="284" spans="1:8">
      <c r="A284" t="str">
        <f>("D0004939")</f>
        <v>D0004939</v>
      </c>
      <c r="B284" t="str">
        <f>("運動與健康 /")</f>
        <v>運動與健康 /</v>
      </c>
      <c r="C284" t="str">
        <f>("張宏亮 ")</f>
        <v xml:space="preserve">張宏亮 </v>
      </c>
      <c r="D284" t="str">
        <f>("健康文化發行,")</f>
        <v>健康文化發行,</v>
      </c>
      <c r="E284" t="str">
        <f>("411.71 8724 2002")</f>
        <v>411.71 8724 2002</v>
      </c>
      <c r="F284" t="str">
        <f>("2002")</f>
        <v>2002</v>
      </c>
      <c r="G284" t="str">
        <f>("大林慈院藏書區")</f>
        <v>大林慈院藏書區</v>
      </c>
    </row>
    <row r="285" spans="1:8">
      <c r="A285" t="str">
        <f>("D0004768")</f>
        <v>D0004768</v>
      </c>
      <c r="B285" t="str">
        <f>("健康出遊 =Travel &amp; medicine /")</f>
        <v>健康出遊 =Travel &amp; medicine /</v>
      </c>
      <c r="C285" t="str">
        <f>("陳亮恭 ")</f>
        <v xml:space="preserve">陳亮恭 </v>
      </c>
      <c r="D285" t="str">
        <f>("臺視文化,")</f>
        <v>臺視文化,</v>
      </c>
      <c r="E285" t="str">
        <f>("411.71 8743 2002")</f>
        <v>411.71 8743 2002</v>
      </c>
      <c r="F285" t="str">
        <f>("2002")</f>
        <v>2002</v>
      </c>
      <c r="G285" t="str">
        <f>("大林慈院藏書區")</f>
        <v>大林慈院藏書區</v>
      </c>
    </row>
    <row r="286" spans="1:8">
      <c r="A286" t="str">
        <f>("D0017032")</f>
        <v>D0017032</v>
      </c>
      <c r="B286" t="str">
        <f>("睡衣皮拉提斯 :拉伸、肌力及肌肉張力40式居家訓練 /")</f>
        <v>睡衣皮拉提斯 :拉伸、肌力及肌肉張力40式居家訓練 /</v>
      </c>
      <c r="C286" t="str">
        <f>("曼金(Mankin,Maria)著")</f>
        <v>曼金(Mankin,Maria)著</v>
      </c>
      <c r="D286" t="str">
        <f>("墨刻, ")</f>
        <v xml:space="preserve">墨刻, </v>
      </c>
      <c r="E286" t="str">
        <f>("411.71 886 2022")</f>
        <v>411.71 886 2022</v>
      </c>
      <c r="F286" t="str">
        <f>("2022")</f>
        <v>2022</v>
      </c>
      <c r="G286" t="str">
        <f>("大林慈院藏書區")</f>
        <v>大林慈院藏書區</v>
      </c>
      <c r="H286" t="str">
        <f>("學習資源組")</f>
        <v>學習資源組</v>
      </c>
    </row>
    <row r="287" spans="1:8">
      <c r="A287" t="str">
        <f>("D0013447")</f>
        <v>D0013447</v>
      </c>
      <c r="B287" t="str">
        <f>("30秒見效！改變姿勢立刻瘦的窈窕懶人操 : 塑造完美體態,恢復青春奇蹟,從此和贅肉、痠痛說Bye-Bye！ / ")</f>
        <v xml:space="preserve">30秒見效！改變姿勢立刻瘦的窈窕懶人操 : 塑造完美體態,恢復青春奇蹟,從此和贅肉、痠痛說Bye-Bye！ / </v>
      </c>
      <c r="C287" t="str">
        <f>("松井薰作 ")</f>
        <v xml:space="preserve">松井薰作 </v>
      </c>
      <c r="D287" t="str">
        <f>("臺灣國際角川, ")</f>
        <v xml:space="preserve">臺灣國際角川, </v>
      </c>
      <c r="E287" t="str">
        <f>("411.711 8354 2013")</f>
        <v>411.711 8354 2013</v>
      </c>
      <c r="F287" t="str">
        <f>("2013")</f>
        <v>2013</v>
      </c>
      <c r="G287" t="str">
        <f>("大林慈院藏書區")</f>
        <v>大林慈院藏書區</v>
      </c>
    </row>
    <row r="288" spans="1:8">
      <c r="A288" t="str">
        <f>("D0016587")</f>
        <v>D0016587</v>
      </c>
      <c r="B288" t="str">
        <f>("肌肉系統伸展訓練 :不再運動傷害、遠離舊傷、強化肌群、不疼痛的80組最適強度運動 /")</f>
        <v>肌肉系統伸展訓練 :不再運動傷害、遠離舊傷、強化肌群、不疼痛的80組最適強度運動 /</v>
      </c>
      <c r="C288" t="str">
        <f>("羅永武著 ")</f>
        <v xml:space="preserve">羅永武著 </v>
      </c>
      <c r="D288" t="str">
        <f>("出色文化 ,")</f>
        <v>出色文化 ,</v>
      </c>
      <c r="E288" t="str">
        <f>("411.711 8563 2020")</f>
        <v>411.711 8563 2020</v>
      </c>
      <c r="F288" t="str">
        <f>("2020")</f>
        <v>2020</v>
      </c>
      <c r="G288" t="str">
        <f>("大林慈院藏書區")</f>
        <v>大林慈院藏書區</v>
      </c>
      <c r="H288" t="str">
        <f>("學習資源組")</f>
        <v>學習資源組</v>
      </c>
    </row>
    <row r="289" spans="1:8">
      <c r="A289" t="str">
        <f>("D0016095")</f>
        <v>D0016095</v>
      </c>
      <c r="B289" t="str">
        <f>("呂醫師的拉筋毛巾操 :50萬人實證全效運動!消除身體7大系統病根, 告別痛、老、胖 /")</f>
        <v>呂醫師的拉筋毛巾操 :50萬人實證全效運動!消除身體7大系統病根, 告別痛、老、胖 /</v>
      </c>
      <c r="C289" t="str">
        <f>("呂紹達 ")</f>
        <v xml:space="preserve">呂紹達 </v>
      </c>
      <c r="D289" t="str">
        <f>("台灣廣廈出版 ;;知遠總經銷,")</f>
        <v>台灣廣廈出版 ;;知遠總經銷,</v>
      </c>
      <c r="E289" t="str">
        <f>("411.711 8567 2018")</f>
        <v>411.711 8567 2018</v>
      </c>
      <c r="F289" t="str">
        <f>("2018")</f>
        <v>2018</v>
      </c>
      <c r="G289" t="str">
        <f>("大林慈院藏書區")</f>
        <v>大林慈院藏書區</v>
      </c>
      <c r="H289" t="str">
        <f>("學習資源組")</f>
        <v>學習資源組</v>
      </c>
    </row>
    <row r="290" spans="1:8">
      <c r="A290" t="str">
        <f>("D0014942")</f>
        <v>D0014942</v>
      </c>
      <c r="B290" t="str">
        <f>("妳的身體就是最好的健身房 / ")</f>
        <v xml:space="preserve">妳的身體就是最好的健身房 / </v>
      </c>
      <c r="C290" t="str">
        <f>("羅倫(Lauren, Mark) ")</f>
        <v xml:space="preserve">羅倫(Lauren, Mark) </v>
      </c>
      <c r="D290" t="str">
        <f>("商周出版 : ;家庭傳媒城邦分公司發行, ")</f>
        <v xml:space="preserve">商周出版 : ;家庭傳媒城邦分公司發行, </v>
      </c>
      <c r="E290" t="str">
        <f>("411.711 857 2015")</f>
        <v>411.711 857 2015</v>
      </c>
      <c r="F290" t="str">
        <f>("2015")</f>
        <v>2015</v>
      </c>
      <c r="G290" t="str">
        <f>("大林慈院藏書區")</f>
        <v>大林慈院藏書區</v>
      </c>
    </row>
    <row r="291" spans="1:8">
      <c r="A291" t="str">
        <f>("D0014934")</f>
        <v>D0014934</v>
      </c>
      <c r="B291" t="str">
        <f>("史上最強彈力帶瘦身 /")</f>
        <v>史上最強彈力帶瘦身 /</v>
      </c>
      <c r="C291" t="str">
        <f>("山本千尋 ")</f>
        <v xml:space="preserve">山本千尋 </v>
      </c>
      <c r="D291" t="str">
        <f>("知遠文化總經銷,;檸檬樹出版 :")</f>
        <v>知遠文化總經銷,;檸檬樹出版 :</v>
      </c>
      <c r="E291" t="str">
        <f>("411.711 8647 2010")</f>
        <v>411.711 8647 2010</v>
      </c>
      <c r="F291" t="str">
        <f>("2010")</f>
        <v>2010</v>
      </c>
      <c r="G291" t="str">
        <f>("大林慈院藏書區")</f>
        <v>大林慈院藏書區</v>
      </c>
    </row>
    <row r="292" spans="1:8">
      <c r="A292" t="str">
        <f>("D0016117")</f>
        <v>D0016117</v>
      </c>
      <c r="B292" t="str">
        <f>("釋放疼痛的5分鐘速效伸展 /")</f>
        <v>釋放疼痛的5分鐘速效伸展 /</v>
      </c>
      <c r="C292" t="str">
        <f>("文熏基,文字作者 ")</f>
        <v xml:space="preserve">文熏基,文字作者 </v>
      </c>
      <c r="D292" t="str">
        <f>("采實文化事業股份有限公司,")</f>
        <v>采實文化事業股份有限公司,</v>
      </c>
      <c r="E292" t="str">
        <f>("411.711 8654 2017")</f>
        <v>411.711 8654 2017</v>
      </c>
      <c r="F292" t="str">
        <f>("2017")</f>
        <v>2017</v>
      </c>
      <c r="G292" t="str">
        <f>("大林慈院藏書區")</f>
        <v>大林慈院藏書區</v>
      </c>
    </row>
    <row r="293" spans="1:8">
      <c r="A293" t="str">
        <f>("D0006639")</f>
        <v>D0006639</v>
      </c>
      <c r="B293" t="str">
        <f>("美體瑜伽 =Yoga :")</f>
        <v>美體瑜伽 =Yoga :</v>
      </c>
      <c r="C293" t="str">
        <f>("石玉鳳 ")</f>
        <v xml:space="preserve">石玉鳳 </v>
      </c>
      <c r="D293" t="str">
        <f>("三采,")</f>
        <v>三采,</v>
      </c>
      <c r="E293" t="str">
        <f>("411.712 8435 2004")</f>
        <v>411.712 8435 2004</v>
      </c>
      <c r="F293" t="str">
        <f>("2004")</f>
        <v>2004</v>
      </c>
      <c r="G293" t="str">
        <f>("大林慈院藏書區")</f>
        <v>大林慈院藏書區</v>
      </c>
      <c r="H293" t="str">
        <f>("瑜伽社")</f>
        <v>瑜伽社</v>
      </c>
    </row>
    <row r="294" spans="1:8">
      <c r="A294" t="str">
        <f>("D0006638")</f>
        <v>D0006638</v>
      </c>
      <c r="B294" t="str">
        <f>("瑜伽提斯美人 =Yogalates /")</f>
        <v>瑜伽提斯美人 =Yogalates /</v>
      </c>
      <c r="C294" t="str">
        <f>("石玉鳳執行主編 ")</f>
        <v xml:space="preserve">石玉鳳執行主編 </v>
      </c>
      <c r="D294" t="str">
        <f>("三采文化,")</f>
        <v>三采文化,</v>
      </c>
      <c r="E294" t="str">
        <f>("411.712 8435 2005")</f>
        <v>411.712 8435 2005</v>
      </c>
      <c r="F294" t="str">
        <f>("2005")</f>
        <v>2005</v>
      </c>
      <c r="G294" t="str">
        <f>("大林慈院藏書區")</f>
        <v>大林慈院藏書區</v>
      </c>
      <c r="H294" t="str">
        <f>("瑜伽社")</f>
        <v>瑜伽社</v>
      </c>
    </row>
    <row r="295" spans="1:8">
      <c r="A295" t="str">
        <f>("D0017029")</f>
        <v>D0017029</v>
      </c>
      <c r="B295" t="str">
        <f>("不倒翁健走運動  /")</f>
        <v>不倒翁健走運動  /</v>
      </c>
      <c r="C295" t="str">
        <f>("郭健中作")</f>
        <v>郭健中作</v>
      </c>
      <c r="D295" t="str">
        <f>("時報文化,")</f>
        <v>時報文化,</v>
      </c>
      <c r="E295" t="str">
        <f>("411.712 8496 2021")</f>
        <v>411.712 8496 2021</v>
      </c>
      <c r="F295" t="str">
        <f>("2021")</f>
        <v>2021</v>
      </c>
      <c r="G295" t="str">
        <f>("大林慈院藏書區")</f>
        <v>大林慈院藏書區</v>
      </c>
      <c r="H295" t="str">
        <f>("學習資源組")</f>
        <v>學習資源組</v>
      </c>
    </row>
    <row r="296" spans="1:8">
      <c r="A296" t="str">
        <f>("D0006633")</f>
        <v>D0006633</v>
      </c>
      <c r="B296" t="str">
        <f>("學瑜伽第一本書 :與天地自然的心靈對話 /")</f>
        <v>學瑜伽第一本書 :與天地自然的心靈對話 /</v>
      </c>
      <c r="C296" t="str">
        <f>("荻山貴美子 ")</f>
        <v xml:space="preserve">荻山貴美子 </v>
      </c>
      <c r="D296" t="str">
        <f>("世茂,")</f>
        <v>世茂,</v>
      </c>
      <c r="E296" t="str">
        <f>("411.712 8644 2005")</f>
        <v>411.712 8644 2005</v>
      </c>
      <c r="F296" t="str">
        <f>("2005")</f>
        <v>2005</v>
      </c>
      <c r="G296" t="str">
        <f>("大林慈院藏書區")</f>
        <v>大林慈院藏書區</v>
      </c>
      <c r="H296" t="str">
        <f>("瑜伽社")</f>
        <v>瑜伽社</v>
      </c>
    </row>
    <row r="297" spans="1:8">
      <c r="A297" t="str">
        <f>("D0006635")</f>
        <v>D0006635</v>
      </c>
      <c r="B297" t="str">
        <f>("元楨惠健康瑜珈 =Healthing yoga /")</f>
        <v>元楨惠健康瑜珈 =Healthing yoga /</v>
      </c>
      <c r="C297" t="str">
        <f>("元楨惠編著 ")</f>
        <v xml:space="preserve">元楨惠編著 </v>
      </c>
      <c r="D297" t="str">
        <f>("漢宇國際文化,")</f>
        <v>漢宇國際文化,</v>
      </c>
      <c r="E297" t="str">
        <f>("411.712 8733 2005")</f>
        <v>411.712 8733 2005</v>
      </c>
      <c r="F297" t="str">
        <f>("2005")</f>
        <v>2005</v>
      </c>
      <c r="G297" t="str">
        <f>("大林慈院藏書區")</f>
        <v>大林慈院藏書區</v>
      </c>
      <c r="H297" t="str">
        <f>("瑜伽社")</f>
        <v>瑜伽社</v>
      </c>
    </row>
    <row r="298" spans="1:8">
      <c r="A298" t="str">
        <f>("D0006636")</f>
        <v>D0006636</v>
      </c>
      <c r="B298" t="str">
        <f>("瑜伽學習百科 /")</f>
        <v>瑜伽學習百科 /</v>
      </c>
      <c r="C298" t="str">
        <f>("國際希瓦難陀瑜珈吠壇多中心(Sivanada Yoga Vedanta center)")</f>
        <v>國際希瓦難陀瑜珈吠壇多中心(Sivanada Yoga Vedanta center)</v>
      </c>
      <c r="D298" t="str">
        <f>("貓頭鷹出版,")</f>
        <v>貓頭鷹出版,</v>
      </c>
      <c r="E298" t="str">
        <f>("411.712 8734 2002")</f>
        <v>411.712 8734 2002</v>
      </c>
      <c r="F298" t="str">
        <f>("2002")</f>
        <v>2002</v>
      </c>
      <c r="G298" t="str">
        <f>("大林慈院藏書區")</f>
        <v>大林慈院藏書區</v>
      </c>
      <c r="H298" t="str">
        <f>("瑜伽社")</f>
        <v>瑜伽社</v>
      </c>
    </row>
    <row r="299" spans="1:8">
      <c r="A299" t="str">
        <f>("D0006634")</f>
        <v>D0006634</v>
      </c>
      <c r="B299" t="str">
        <f>("14天擺脫西洋梨 =Yoga made easy :")</f>
        <v>14天擺脫西洋梨 =Yoga made easy :</v>
      </c>
      <c r="C299" t="str">
        <f>("林怡君(衛生學) ")</f>
        <v xml:space="preserve">林怡君(衛生學) </v>
      </c>
      <c r="D299" t="str">
        <f>("腳丫文化,")</f>
        <v>腳丫文化,</v>
      </c>
      <c r="E299" t="str">
        <f>("411.712 8754 2004")</f>
        <v>411.712 8754 2004</v>
      </c>
      <c r="F299" t="str">
        <f>("2004")</f>
        <v>2004</v>
      </c>
      <c r="G299" t="str">
        <f>("大林慈院藏書區")</f>
        <v>大林慈院藏書區</v>
      </c>
      <c r="H299" t="str">
        <f>("瑜伽社")</f>
        <v>瑜伽社</v>
      </c>
    </row>
    <row r="300" spans="1:8">
      <c r="A300" t="str">
        <f>("D0006674")</f>
        <v>D0006674</v>
      </c>
      <c r="B300" t="str">
        <f>("圖解瑜伽自然健康法 =The natural &amp; Healthy way:a complete illustrated book of yoga /")</f>
        <v>圖解瑜伽自然健康法 =The natural &amp; Healthy way:a complete illustrated book of yoga /</v>
      </c>
      <c r="C300" t="str">
        <f>("嚴菀華著 ")</f>
        <v xml:space="preserve">嚴菀華著 </v>
      </c>
      <c r="D300" t="str">
        <f>("遠流,")</f>
        <v>遠流,</v>
      </c>
      <c r="E300" t="str">
        <f>("411.712 8866 2001")</f>
        <v>411.712 8866 2001</v>
      </c>
      <c r="F300" t="str">
        <f>("2001")</f>
        <v>2001</v>
      </c>
      <c r="G300" t="str">
        <f>("大林慈院藏書區")</f>
        <v>大林慈院藏書區</v>
      </c>
      <c r="H300" t="str">
        <f>("瑜伽社")</f>
        <v>瑜伽社</v>
      </c>
    </row>
    <row r="301" spans="1:8">
      <c r="A301" t="str">
        <f>("D0009760")</f>
        <v>D0009760</v>
      </c>
      <c r="B301" t="str">
        <f>("跟疼痛說拜拜 :維持良好的姿勢以遠離疼痛 /")</f>
        <v>跟疼痛說拜拜 :維持良好的姿勢以遠離疼痛 /</v>
      </c>
      <c r="C301" t="str">
        <f>("伍列(Woolley, Nick) ")</f>
        <v xml:space="preserve">伍列(Woolley, Nick) </v>
      </c>
      <c r="D301" t="str">
        <f>("合記圖書發行,")</f>
        <v>合記圖書發行,</v>
      </c>
      <c r="E301" t="str">
        <f>("411.75 865 2006")</f>
        <v>411.75 865 2006</v>
      </c>
      <c r="F301" t="str">
        <f>("2006")</f>
        <v>2006</v>
      </c>
      <c r="G301" t="str">
        <f>("大林慈院藏書區")</f>
        <v>大林慈院藏書區</v>
      </c>
    </row>
    <row r="302" spans="1:8">
      <c r="A302" t="str">
        <f>("D0016913")</f>
        <v>D0016913</v>
      </c>
      <c r="B302" t="str">
        <f>("頭頸自由，身心自在 : 亞歷山大技巧入門 / ")</f>
        <v xml:space="preserve">頭頸自由，身心自在 : 亞歷山大技巧入門 / </v>
      </c>
      <c r="C302" t="str">
        <f>("康樂伯(Conable, Babara)著")</f>
        <v>康樂伯(Conable, Babara)著</v>
      </c>
      <c r="D302" t="str">
        <f>("心靈工坊文化, ")</f>
        <v xml:space="preserve">心靈工坊文化, </v>
      </c>
      <c r="E302" t="str">
        <f>("411.75 8696 2018")</f>
        <v>411.75 8696 2018</v>
      </c>
      <c r="F302" t="str">
        <f>("2018")</f>
        <v>2018</v>
      </c>
      <c r="G302" t="str">
        <f>("大林慈院藏書區")</f>
        <v>大林慈院藏書區</v>
      </c>
    </row>
    <row r="303" spans="1:8">
      <c r="A303" t="str">
        <f>("D0014119")</f>
        <v>D0014119</v>
      </c>
      <c r="B303" t="str">
        <f>("縮下顎,肩頸腰都不痛!頭痛失眠自然好 / ")</f>
        <v xml:space="preserve">縮下顎,肩頸腰都不痛!頭痛失眠自然好 / </v>
      </c>
      <c r="C303" t="str">
        <f>("伊藤和磨著 ")</f>
        <v xml:space="preserve">伊藤和磨著 </v>
      </c>
      <c r="D303" t="str">
        <f>("野人出版 : ;遠足發行, ")</f>
        <v xml:space="preserve">野人出版 : ;遠足發行, </v>
      </c>
      <c r="E303" t="str">
        <f>("411.75 8846 2014")</f>
        <v>411.75 8846 2014</v>
      </c>
      <c r="F303" t="str">
        <f>("2014")</f>
        <v>2014</v>
      </c>
      <c r="G303" t="str">
        <f>("大林慈院藏書區")</f>
        <v>大林慈院藏書區</v>
      </c>
      <c r="H303" t="str">
        <f>("復健科")</f>
        <v>復健科</v>
      </c>
    </row>
    <row r="304" spans="1:8">
      <c r="A304" t="str">
        <f>("D0007161")</f>
        <v>D0007161</v>
      </c>
      <c r="B304" t="str">
        <f>("睡眠及其障礙 /")</f>
        <v>睡眠及其障礙 /</v>
      </c>
      <c r="C304" t="str">
        <f>("洪祖培 ")</f>
        <v xml:space="preserve">洪祖培 </v>
      </c>
      <c r="D304" t="str">
        <f>("水牛,")</f>
        <v>水牛,</v>
      </c>
      <c r="E304" t="str">
        <f>("411.77 8234 1994")</f>
        <v>411.77 8234 1994</v>
      </c>
      <c r="F304" t="str">
        <f>("1994")</f>
        <v>1994</v>
      </c>
      <c r="G304" t="str">
        <f>("大林慈院藏書區")</f>
        <v>大林慈院藏書區</v>
      </c>
    </row>
    <row r="305" spans="1:8">
      <c r="A305" t="str">
        <f>("D0012755")</f>
        <v>D0012755</v>
      </c>
      <c r="B305" t="str">
        <f>("修復身體的黃金7小時 /")</f>
        <v>修復身體的黃金7小時 /</v>
      </c>
      <c r="C305" t="str">
        <f>("宮崎總一郎著 ")</f>
        <v xml:space="preserve">宮崎總一郎著 </v>
      </c>
      <c r="D305" t="str">
        <f>("大是文化,")</f>
        <v>大是文化,</v>
      </c>
      <c r="E305" t="str">
        <f>("411.77 8365 2011")</f>
        <v>411.77 8365 2011</v>
      </c>
      <c r="F305" t="str">
        <f>("2011")</f>
        <v>2011</v>
      </c>
      <c r="G305" t="str">
        <f>("大林慈院藏書區")</f>
        <v>大林慈院藏書區</v>
      </c>
      <c r="H305" t="str">
        <f>("學習資源組")</f>
        <v>學習資源組</v>
      </c>
    </row>
    <row r="306" spans="1:8">
      <c r="A306" t="str">
        <f>("D0016094")</f>
        <v>D0016094</v>
      </c>
      <c r="B306" t="str">
        <f>("修復身體的黃金7小時 :養顏瘦身 X 提升免疫力 X 自癒百病, 拯救上萬人的名醫教你日日好眠, 擺脫所有文明病! /")</f>
        <v>修復身體的黃金7小時 :養顏瘦身 X 提升免疫力 X 自癒百病, 拯救上萬人的名醫教你日日好眠, 擺脫所有文明病! /</v>
      </c>
      <c r="C306" t="str">
        <f>("宮崎總一郎著 ")</f>
        <v xml:space="preserve">宮崎總一郎著 </v>
      </c>
      <c r="D306" t="str">
        <f>("大是文化,")</f>
        <v>大是文化,</v>
      </c>
      <c r="E306" t="str">
        <f>("411.77 8365 2018 c.2")</f>
        <v>411.77 8365 2018 c.2</v>
      </c>
      <c r="F306" t="str">
        <f>("2018")</f>
        <v>2018</v>
      </c>
      <c r="G306" t="str">
        <f>("大林慈院藏書區")</f>
        <v>大林慈院藏書區</v>
      </c>
      <c r="H306" t="str">
        <f>("學習資源組 ")</f>
        <v xml:space="preserve">學習資源組 </v>
      </c>
    </row>
    <row r="307" spans="1:8">
      <c r="A307" t="str">
        <f>("D0016968")</f>
        <v>D0016968</v>
      </c>
      <c r="B307" t="str">
        <f>("熟睡迎接每一天 /")</f>
        <v>熟睡迎接每一天 /</v>
      </c>
      <c r="C307" t="str">
        <f>("李學禹 著")</f>
        <v>李學禹 著</v>
      </c>
      <c r="D307" t="str">
        <f>("方舟文化, ")</f>
        <v xml:space="preserve">方舟文化, </v>
      </c>
      <c r="E307" t="str">
        <f>("411.77 8465 2022")</f>
        <v>411.77 8465 2022</v>
      </c>
      <c r="F307" t="str">
        <f>("2022")</f>
        <v>2022</v>
      </c>
      <c r="G307" t="str">
        <f>("大林慈院藏書區")</f>
        <v>大林慈院藏書區</v>
      </c>
      <c r="H307" t="str">
        <f>("學習資源組")</f>
        <v>學習資源組</v>
      </c>
    </row>
    <row r="308" spans="1:8">
      <c r="A308" t="str">
        <f>("D0013160")</f>
        <v>D0013160</v>
      </c>
      <c r="B308" t="str">
        <f>("健康，從睡眠開始！:台大醫院睡眠中心的22堂課/ ")</f>
        <v xml:space="preserve">健康，從睡眠開始！:台大醫院睡眠中心的22堂課/ </v>
      </c>
      <c r="C308" t="str">
        <f>("臺大醫院睡眠中心團隊 ")</f>
        <v xml:space="preserve">臺大醫院睡眠中心團隊 </v>
      </c>
      <c r="D308" t="str">
        <f>("原水文化出版 : ;家庭傳媒城邦分公司發行, ")</f>
        <v xml:space="preserve">原水文化出版 : ;家庭傳媒城邦分公司發行, </v>
      </c>
      <c r="E308" t="str">
        <f>("411.77 8474 2013")</f>
        <v>411.77 8474 2013</v>
      </c>
      <c r="F308" t="str">
        <f>("2013")</f>
        <v>2013</v>
      </c>
      <c r="G308" t="str">
        <f>("大林慈院藏書區")</f>
        <v>大林慈院藏書區</v>
      </c>
      <c r="H308" t="str">
        <f>("睡眠中心")</f>
        <v>睡眠中心</v>
      </c>
    </row>
    <row r="309" spans="1:8">
      <c r="A309" t="str">
        <f>("D0000285")</f>
        <v>D0000285</v>
      </c>
      <c r="B309" t="str">
        <f>("放輕鬆 /")</f>
        <v>放輕鬆 /</v>
      </c>
      <c r="C309" t="str">
        <f>("修易特(Hewitt, James) ")</f>
        <v xml:space="preserve">修易特(Hewitt, James) </v>
      </c>
      <c r="D309" t="str">
        <f>("中天出版,")</f>
        <v>中天出版,</v>
      </c>
      <c r="E309" t="str">
        <f>("411.77 848 1997")</f>
        <v>411.77 848 1997</v>
      </c>
      <c r="F309" t="str">
        <f>("1997")</f>
        <v>1997</v>
      </c>
      <c r="G309" t="str">
        <f>("大林慈院藏書區")</f>
        <v>大林慈院藏書區</v>
      </c>
    </row>
    <row r="310" spans="1:8">
      <c r="A310" t="str">
        <f>("D0004773")</f>
        <v>D0004773</v>
      </c>
      <c r="B310" t="str">
        <f>("放輕鬆 /")</f>
        <v>放輕鬆 /</v>
      </c>
      <c r="C310" t="str">
        <f>("修易特(Hewitt, James) ")</f>
        <v xml:space="preserve">修易特(Hewitt, James) </v>
      </c>
      <c r="D310" t="str">
        <f>("中天出版,")</f>
        <v>中天出版,</v>
      </c>
      <c r="E310" t="str">
        <f>("411.77 848 1997 c.2")</f>
        <v>411.77 848 1997 c.2</v>
      </c>
      <c r="F310" t="str">
        <f>("1997")</f>
        <v>1997</v>
      </c>
      <c r="G310" t="str">
        <f>("大林慈院藏書區")</f>
        <v>大林慈院藏書區</v>
      </c>
    </row>
    <row r="311" spans="1:8">
      <c r="A311" t="str">
        <f>("D0000318")</f>
        <v>D0000318</v>
      </c>
      <c r="B311" t="str">
        <f>("睡得好,健康沒煩惱 :簡單生活六步驟,和失眠說BYE-BYE /")</f>
        <v>睡得好,健康沒煩惱 :簡單生活六步驟,和失眠說BYE-BYE /</v>
      </c>
      <c r="C311" t="str">
        <f>("李馥編著 ")</f>
        <v xml:space="preserve">李馥編著 </v>
      </c>
      <c r="D311" t="str">
        <f>("采竹文化出版,")</f>
        <v>采竹文化出版,</v>
      </c>
      <c r="E311" t="str">
        <f>("411.77 849 2011")</f>
        <v>411.77 849 2011</v>
      </c>
      <c r="F311" t="str">
        <f>("2011")</f>
        <v>2011</v>
      </c>
      <c r="G311" t="str">
        <f>("大林慈院藏書區")</f>
        <v>大林慈院藏書區</v>
      </c>
    </row>
    <row r="312" spans="1:8">
      <c r="A312" t="str">
        <f>("D0001130")</f>
        <v>D0001130</v>
      </c>
      <c r="B312" t="str">
        <f>("從此天天睡好覺 /")</f>
        <v>從此天天睡好覺 /</v>
      </c>
      <c r="C312" t="str">
        <f>("羅孝穗 ")</f>
        <v xml:space="preserve">羅孝穗 </v>
      </c>
      <c r="D312" t="str">
        <f>("如何出版,")</f>
        <v>如何出版,</v>
      </c>
      <c r="E312" t="str">
        <f>("411.77 8545 2005")</f>
        <v>411.77 8545 2005</v>
      </c>
      <c r="F312" t="str">
        <f>("2005")</f>
        <v>2005</v>
      </c>
      <c r="G312" t="str">
        <f>("大林慈院藏書區")</f>
        <v>大林慈院藏書區</v>
      </c>
    </row>
    <row r="313" spans="1:8">
      <c r="A313" t="str">
        <f>("D0016405")</f>
        <v>D0016405</v>
      </c>
      <c r="B313" t="str">
        <f>("好睡 : 新的睡眠科學與醫學 / ")</f>
        <v xml:space="preserve">好睡 : 新的睡眠科學與醫學 / </v>
      </c>
      <c r="C313" t="str">
        <f>("楊定一著")</f>
        <v>楊定一著</v>
      </c>
      <c r="D313" t="str">
        <f>("天下生活出版 : ;大和圖書總經銷, ")</f>
        <v xml:space="preserve">天下生活出版 : ;大和圖書總經銷, </v>
      </c>
      <c r="E313" t="str">
        <f>("411.77 8662 2019")</f>
        <v>411.77 8662 2019</v>
      </c>
      <c r="F313" t="str">
        <f>("2019")</f>
        <v>2019</v>
      </c>
      <c r="G313" t="str">
        <f>("大林慈院藏書區")</f>
        <v>大林慈院藏書區</v>
      </c>
      <c r="H313" t="str">
        <f>("學習資源組")</f>
        <v>學習資源組</v>
      </c>
    </row>
    <row r="314" spans="1:8">
      <c r="A314" t="str">
        <f>("D0012553")</f>
        <v>D0012553</v>
      </c>
      <c r="B314" t="str">
        <f>("睡眠醫學實務 /")</f>
        <v>睡眠醫學實務 /</v>
      </c>
      <c r="C314" t="str">
        <f>("劉勝義(醫學) ")</f>
        <v xml:space="preserve">劉勝義(醫學) </v>
      </c>
      <c r="D314" t="str">
        <f>("合記,")</f>
        <v>合記,</v>
      </c>
      <c r="E314" t="str">
        <f>("411.77 8782 2011")</f>
        <v>411.77 8782 2011</v>
      </c>
      <c r="F314" t="str">
        <f>("2011")</f>
        <v>2011</v>
      </c>
      <c r="G314" t="str">
        <f>("大林慈院藏書區")</f>
        <v>大林慈院藏書區</v>
      </c>
      <c r="H314" t="str">
        <f>("耳鼻喉科")</f>
        <v>耳鼻喉科</v>
      </c>
    </row>
    <row r="315" spans="1:8">
      <c r="A315" t="str">
        <f>("D0016060")</f>
        <v>D0016060</v>
      </c>
      <c r="B315" t="str">
        <f>("致命的飲料 /")</f>
        <v>致命的飲料 /</v>
      </c>
      <c r="C315" t="str">
        <f>("艾波頓(Appleton, Nancy) ")</f>
        <v xml:space="preserve">艾波頓(Appleton, Nancy) </v>
      </c>
      <c r="D315" t="str">
        <f>("創智文化總經銷,;八正文化出版 ;")</f>
        <v>創智文化總經銷,;八正文化出版 ;</v>
      </c>
      <c r="E315" t="str">
        <f>("412.25 8863 2017")</f>
        <v>412.25 8863 2017</v>
      </c>
      <c r="F315" t="str">
        <f>("2017")</f>
        <v>2017</v>
      </c>
      <c r="G315" t="str">
        <f>("大林慈院藏書區")</f>
        <v>大林慈院藏書區</v>
      </c>
      <c r="H315" t="str">
        <f>("營養治療科")</f>
        <v>營養治療科</v>
      </c>
    </row>
    <row r="316" spans="1:8">
      <c r="A316" t="str">
        <f>("D0014584")</f>
        <v>D0014584</v>
      </c>
      <c r="B316" t="str">
        <f>("食品衛生與安全 / ")</f>
        <v xml:space="preserve">食品衛生與安全 / </v>
      </c>
      <c r="C316" t="str">
        <f>("李昇平")</f>
        <v>李昇平</v>
      </c>
      <c r="D316" t="str">
        <f>("李昇平, ")</f>
        <v xml:space="preserve">李昇平, </v>
      </c>
      <c r="E316" t="str">
        <f>("412.37 8465 2015")</f>
        <v>412.37 8465 2015</v>
      </c>
      <c r="F316" t="str">
        <f>("2015")</f>
        <v>2015</v>
      </c>
      <c r="G316" t="str">
        <f>("大林慈院藏書區")</f>
        <v>大林慈院藏書區</v>
      </c>
      <c r="H316" t="str">
        <f>("營養治療科 ")</f>
        <v xml:space="preserve">營養治療科 </v>
      </c>
    </row>
    <row r="317" spans="1:8">
      <c r="A317" t="str">
        <f>("D0009978")</f>
        <v>D0009978</v>
      </c>
      <c r="B317" t="str">
        <f>("食品安全 :你必須知道的法則 /")</f>
        <v>食品安全 :你必須知道的法則 /</v>
      </c>
      <c r="C317" t="str">
        <f>("海明吉爾(Hemminger, Jane M.)原著 ")</f>
        <v xml:space="preserve">海明吉爾(Hemminger, Jane M.)原著 </v>
      </c>
      <c r="D317" t="str">
        <f>("合記,")</f>
        <v>合記,</v>
      </c>
      <c r="E317" t="str">
        <f>("412.37 8546 2004")</f>
        <v>412.37 8546 2004</v>
      </c>
      <c r="F317" t="str">
        <f>("2004")</f>
        <v>2004</v>
      </c>
      <c r="G317" t="str">
        <f>("大林慈院藏書區")</f>
        <v>大林慈院藏書區</v>
      </c>
    </row>
    <row r="318" spans="1:8">
      <c r="A318" t="str">
        <f>("D0002743")</f>
        <v>D0002743</v>
      </c>
      <c r="B318" t="str">
        <f>("預防醫學 /")</f>
        <v>預防醫學 /</v>
      </c>
      <c r="C318" t="str">
        <f>("黃悅勤主編 ")</f>
        <v xml:space="preserve">黃悅勤主編 </v>
      </c>
      <c r="D318" t="str">
        <f>("北京大學醫學出版社,")</f>
        <v>北京大學醫學出版社,</v>
      </c>
      <c r="E318" t="str">
        <f>("412.4 8336 2004")</f>
        <v>412.4 8336 2004</v>
      </c>
      <c r="F318" t="str">
        <f>("2004")</f>
        <v>2004</v>
      </c>
      <c r="G318" t="str">
        <f>("大林慈院藏書區")</f>
        <v>大林慈院藏書區</v>
      </c>
    </row>
    <row r="319" spans="1:8">
      <c r="A319" t="str">
        <f>("D0016139")</f>
        <v>D0016139</v>
      </c>
      <c r="B319" t="str">
        <f>("健保與保健 :醫病雙贏之道 /")</f>
        <v>健保與保健 :醫病雙贏之道 /</v>
      </c>
      <c r="C319" t="str">
        <f>("王國新(醫學)")</f>
        <v>王國新(醫學)</v>
      </c>
      <c r="D319" t="str">
        <f>("秀威資訊科技出版 :;紅螞蟻圖書經銷,")</f>
        <v>秀威資訊科技出版 :;紅螞蟻圖書經銷,</v>
      </c>
      <c r="E319" t="str">
        <f>("412.56 8454 2009")</f>
        <v>412.56 8454 2009</v>
      </c>
      <c r="F319" t="str">
        <f>("2009")</f>
        <v>2009</v>
      </c>
      <c r="G319" t="str">
        <f>("大林慈院藏書區")</f>
        <v>大林慈院藏書區</v>
      </c>
    </row>
    <row r="320" spans="1:8">
      <c r="A320" t="str">
        <f>("D0016581")</f>
        <v>D0016581</v>
      </c>
      <c r="B320" t="str">
        <f>("二0三0健保大限 /")</f>
        <v>二0三0健保大限 /</v>
      </c>
      <c r="C320" t="str">
        <f>("張鴻仁 著")</f>
        <v>張鴻仁 著</v>
      </c>
      <c r="D320" t="str">
        <f>("INK印刻文學,;成陽總代理")</f>
        <v>INK印刻文學,;成陽總代理</v>
      </c>
      <c r="E320" t="str">
        <f>("412.56 8726 2020")</f>
        <v>412.56 8726 2020</v>
      </c>
      <c r="F320" t="str">
        <f>("2020")</f>
        <v>2020</v>
      </c>
      <c r="G320" t="str">
        <f>("大林慈院藏書區")</f>
        <v>大林慈院藏書區</v>
      </c>
      <c r="H320" t="str">
        <f>("學習資源組")</f>
        <v>學習資源組</v>
      </c>
    </row>
    <row r="321" spans="1:8">
      <c r="A321" t="str">
        <f>("D0006045")</f>
        <v>D0006045</v>
      </c>
      <c r="B321" t="str">
        <f>("美容美體Q&amp;A /")</f>
        <v>美容美體Q&amp;A /</v>
      </c>
      <c r="C321" t="str">
        <f>(" 顧婧主編 ")</f>
        <v xml:space="preserve"> 顧婧主編 </v>
      </c>
      <c r="D321" t="str">
        <f>("世茂,")</f>
        <v>世茂,</v>
      </c>
      <c r="E321" t="str">
        <f>("424 826 1998")</f>
        <v>424 826 1998</v>
      </c>
      <c r="F321" t="str">
        <f>("1998")</f>
        <v>1998</v>
      </c>
      <c r="G321" t="str">
        <f>("大林慈院藏書區")</f>
        <v>大林慈院藏書區</v>
      </c>
    </row>
    <row r="322" spans="1:8">
      <c r="A322" t="str">
        <f>("D0007099")</f>
        <v>D0007099</v>
      </c>
      <c r="B322" t="str">
        <f>("水噹噹美人筆記 =Beauty bible /")</f>
        <v>水噹噹美人筆記 =Beauty bible /</v>
      </c>
      <c r="C322" t="str">
        <f>("齊藤薰著 ")</f>
        <v xml:space="preserve">齊藤薰著 </v>
      </c>
      <c r="D322" t="str">
        <f>("臺灣先智,")</f>
        <v>臺灣先智,</v>
      </c>
      <c r="E322" t="str">
        <f>("424 8445 2000")</f>
        <v>424 8445 2000</v>
      </c>
      <c r="F322" t="str">
        <f>("2000")</f>
        <v>2000</v>
      </c>
      <c r="G322" t="str">
        <f>("大林慈院藏書區")</f>
        <v>大林慈院藏書區</v>
      </c>
    </row>
    <row r="323" spans="1:8">
      <c r="A323" t="str">
        <f>("D0006032")</f>
        <v>D0006032</v>
      </c>
      <c r="B323" t="str">
        <f>("蔬果瘦身美容 /")</f>
        <v>蔬果瘦身美容 /</v>
      </c>
      <c r="C323" t="str">
        <f>("李政育 ")</f>
        <v xml:space="preserve">李政育 </v>
      </c>
      <c r="D323" t="str">
        <f>("元氣齋,")</f>
        <v>元氣齋,</v>
      </c>
      <c r="E323" t="str">
        <f>("424 8473 2000")</f>
        <v>424 8473 2000</v>
      </c>
      <c r="F323" t="str">
        <f>("2000")</f>
        <v>2000</v>
      </c>
      <c r="G323" t="str">
        <f>("大林慈院藏書區")</f>
        <v>大林慈院藏書區</v>
      </c>
    </row>
    <row r="324" spans="1:8">
      <c r="A324" t="str">
        <f>("D0007423")</f>
        <v>D0007423</v>
      </c>
      <c r="B324" t="str">
        <f>("蜂膠美容健康法 /")</f>
        <v>蜂膠美容健康法 /</v>
      </c>
      <c r="C324" t="str">
        <f>("谷口明 ")</f>
        <v xml:space="preserve">谷口明 </v>
      </c>
      <c r="D324" t="str">
        <f>("青春,")</f>
        <v>青春,</v>
      </c>
      <c r="E324" t="str">
        <f>("424 865 1998")</f>
        <v>424 865 1998</v>
      </c>
      <c r="F324" t="str">
        <f>("1998")</f>
        <v>1998</v>
      </c>
      <c r="G324" t="str">
        <f>("大林慈院藏書區")</f>
        <v>大林慈院藏書區</v>
      </c>
    </row>
    <row r="325" spans="1:8">
      <c r="A325" t="str">
        <f>("D0007745")</f>
        <v>D0007745</v>
      </c>
      <c r="B325" t="str">
        <f>("美麗動起來! =Live your beauty :")</f>
        <v>美麗動起來! =Live your beauty :</v>
      </c>
      <c r="C325" t="str">
        <f>("楊麗菁(表演藝術) ")</f>
        <v xml:space="preserve">楊麗菁(表演藝術) </v>
      </c>
      <c r="D325" t="str">
        <f>("星定石文化出版,")</f>
        <v>星定石文化出版,</v>
      </c>
      <c r="E325" t="str">
        <f>("424.1 8655 2001")</f>
        <v>424.1 8655 2001</v>
      </c>
      <c r="F325" t="str">
        <f>("2001")</f>
        <v>2001</v>
      </c>
      <c r="G325" t="str">
        <f>("大林慈院藏書區")</f>
        <v>大林慈院藏書區</v>
      </c>
    </row>
    <row r="326" spans="1:8">
      <c r="A326" t="str">
        <f>("D0007443")</f>
        <v>D0007443</v>
      </c>
      <c r="B326" t="str">
        <f>("牛爾的愛美書 =Beauty tips for natural skincare /")</f>
        <v>牛爾的愛美書 =Beauty tips for natural skincare /</v>
      </c>
      <c r="C326" t="str">
        <f>("牛爾著 ")</f>
        <v xml:space="preserve">牛爾著 </v>
      </c>
      <c r="D326" t="str">
        <f>("時報文化,")</f>
        <v>時報文化,</v>
      </c>
      <c r="E326" t="str">
        <f>("424.4 877 2001")</f>
        <v>424.4 877 2001</v>
      </c>
      <c r="F326" t="str">
        <f>("2001")</f>
        <v>2001</v>
      </c>
      <c r="G326" t="str">
        <f>("大林慈院藏書區")</f>
        <v>大林慈院藏書區</v>
      </c>
    </row>
    <row r="327" spans="1:8">
      <c r="A327" t="str">
        <f>("D0007167")</f>
        <v>D0007167</v>
      </c>
      <c r="B327" t="str">
        <f>("省美大王 :平民摳美人 /")</f>
        <v>省美大王 :平民摳美人 /</v>
      </c>
      <c r="C327" t="str">
        <f>("李冠儀著 ")</f>
        <v xml:space="preserve">李冠儀著 </v>
      </c>
      <c r="D327" t="str">
        <f>("環球波音出版,")</f>
        <v>環球波音出版,</v>
      </c>
      <c r="E327" t="str">
        <f>("425 8425 2010")</f>
        <v>425 8425 2010</v>
      </c>
      <c r="F327" t="str">
        <f>("2010")</f>
        <v>2010</v>
      </c>
      <c r="G327" t="str">
        <f>("大林慈院藏書區")</f>
        <v>大林慈院藏書區</v>
      </c>
    </row>
    <row r="328" spans="1:8">
      <c r="A328" t="str">
        <f>("D0014933")</f>
        <v>D0014933</v>
      </c>
      <c r="B328" t="str">
        <f>("妮老師的第一本美容魔法書 / ")</f>
        <v xml:space="preserve">妮老師的第一本美容魔法書 / </v>
      </c>
      <c r="C328" t="str">
        <f>("郭欣妮著 ")</f>
        <v xml:space="preserve">郭欣妮著 </v>
      </c>
      <c r="D328" t="str">
        <f>("漢宇國際文化出版 : ;幼福文化總經銷, ")</f>
        <v xml:space="preserve">漢宇國際文化出版 : ;幼福文化總經銷, </v>
      </c>
      <c r="E328" t="str">
        <f>("425 8497 2008")</f>
        <v>425 8497 2008</v>
      </c>
      <c r="F328" t="str">
        <f>("2008")</f>
        <v>2008</v>
      </c>
      <c r="G328" t="str">
        <f>("大林慈院藏書區")</f>
        <v>大林慈院藏書區</v>
      </c>
    </row>
    <row r="329" spans="1:8">
      <c r="A329" t="str">
        <f>("D0006658")</f>
        <v>D0006658</v>
      </c>
      <c r="B329" t="str">
        <f>("彈力帶塑身操 :謝菁珊的彼拉提斯課 /")</f>
        <v>彈力帶塑身操 :謝菁珊的彼拉提斯課 /</v>
      </c>
      <c r="C329" t="str">
        <f>("謝菁珊作 ")</f>
        <v xml:space="preserve">謝菁珊作 </v>
      </c>
      <c r="D329" t="str">
        <f>("相映文化出版,")</f>
        <v>相映文化出版,</v>
      </c>
      <c r="E329" t="str">
        <f>("425.1 8254 2005")</f>
        <v>425.1 8254 2005</v>
      </c>
      <c r="F329" t="str">
        <f>("2005")</f>
        <v>2005</v>
      </c>
      <c r="G329" t="str">
        <f>("大林慈院藏書區")</f>
        <v>大林慈院藏書區</v>
      </c>
    </row>
    <row r="330" spans="1:8">
      <c r="A330" t="str">
        <f>("D0012651")</f>
        <v>D0012651</v>
      </c>
      <c r="B330" t="str">
        <f>("5分鐘變美變瘦 /")</f>
        <v>5分鐘變美變瘦 /</v>
      </c>
      <c r="C330" t="str">
        <f>("潘若迪 ")</f>
        <v xml:space="preserve">潘若迪 </v>
      </c>
      <c r="D330" t="str">
        <f>("方智,")</f>
        <v>方智,</v>
      </c>
      <c r="E330" t="str">
        <f>("425.1 8358 2002")</f>
        <v>425.1 8358 2002</v>
      </c>
      <c r="F330" t="str">
        <f>("2002")</f>
        <v>2002</v>
      </c>
      <c r="G330" t="str">
        <f>("大林慈院藏書區")</f>
        <v>大林慈院藏書區</v>
      </c>
    </row>
    <row r="331" spans="1:8">
      <c r="A331" t="str">
        <f>("D0012269")</f>
        <v>D0012269</v>
      </c>
      <c r="B331" t="str">
        <f>("彼拉提斯輕百科 /")</f>
        <v>彼拉提斯輕百科 /</v>
      </c>
      <c r="C331" t="str">
        <f>("艾達梅尼(Adamany, Karrie) ")</f>
        <v xml:space="preserve">艾達梅尼(Adamany, Karrie) </v>
      </c>
      <c r="D331" t="str">
        <f>("山岳文化出版,")</f>
        <v>山岳文化出版,</v>
      </c>
      <c r="E331" t="str">
        <f>("425.1 8376 2005")</f>
        <v>425.1 8376 2005</v>
      </c>
      <c r="F331" t="str">
        <f>("2005")</f>
        <v>2005</v>
      </c>
      <c r="G331" t="str">
        <f>("大林慈院藏書區")</f>
        <v>大林慈院藏書區</v>
      </c>
    </row>
    <row r="332" spans="1:8">
      <c r="A332" t="str">
        <f>("D0009870")</f>
        <v>D0009870</v>
      </c>
      <c r="B332" t="str">
        <f>("翹臀.細腰.美腿! /")</f>
        <v>翹臀.細腰.美腿! /</v>
      </c>
      <c r="C332" t="str">
        <f>("盧蒂格(Rudiger, Margit)著 ")</f>
        <v xml:space="preserve">盧蒂格(Rudiger, Margit)著 </v>
      </c>
      <c r="D332" t="str">
        <f>("天下雜誌出版,")</f>
        <v>天下雜誌出版,</v>
      </c>
      <c r="E332" t="str">
        <f>("425.1 8684 2005")</f>
        <v>425.1 8684 2005</v>
      </c>
      <c r="F332" t="str">
        <f>("2005")</f>
        <v>2005</v>
      </c>
      <c r="G332" t="str">
        <f>("大林慈院藏書區")</f>
        <v>大林慈院藏書區</v>
      </c>
    </row>
    <row r="333" spans="1:8">
      <c r="A333" t="str">
        <f>("D0012652")</f>
        <v>D0012652</v>
      </c>
      <c r="B333" t="str">
        <f>("DIY整骨塑身瘦健美 /")</f>
        <v>DIY整骨塑身瘦健美 /</v>
      </c>
      <c r="C333" t="str">
        <f>("張富源 ")</f>
        <v xml:space="preserve">張富源 </v>
      </c>
      <c r="D333" t="str">
        <f>("尖端出版,")</f>
        <v>尖端出版,</v>
      </c>
      <c r="E333" t="str">
        <f>("425.1 8732 2002")</f>
        <v>425.1 8732 2002</v>
      </c>
      <c r="F333" t="str">
        <f>("2002")</f>
        <v>2002</v>
      </c>
      <c r="G333" t="str">
        <f>("大林慈院藏書區")</f>
        <v>大林慈院藏書區</v>
      </c>
    </row>
    <row r="334" spans="1:8">
      <c r="A334" t="str">
        <f>("D0005145")</f>
        <v>D0005145</v>
      </c>
      <c r="B334" t="str">
        <f>("塑身女皇教你打造完美曲線 /")</f>
        <v>塑身女皇教你打造完美曲線 /</v>
      </c>
      <c r="C334" t="str">
        <f>("鄭多蓮著 ")</f>
        <v xml:space="preserve">鄭多蓮著 </v>
      </c>
      <c r="D334" t="str">
        <f>("方智,")</f>
        <v>方智,</v>
      </c>
      <c r="E334" t="str">
        <f>("425.2 8457 2011")</f>
        <v>425.2 8457 2011</v>
      </c>
      <c r="F334" t="str">
        <f>("2011")</f>
        <v>2011</v>
      </c>
      <c r="G334" t="str">
        <f>("大林慈院藏書區")</f>
        <v>大林慈院藏書區</v>
      </c>
      <c r="H334" t="str">
        <f>("學習資源組")</f>
        <v>學習資源組</v>
      </c>
    </row>
    <row r="335" spans="1:8">
      <c r="A335" t="str">
        <f>("D0005245")</f>
        <v>D0005245</v>
      </c>
      <c r="B335" t="str">
        <f>("美人醫師教妳28天美白嫩膚 /")</f>
        <v>美人醫師教妳28天美白嫩膚 /</v>
      </c>
      <c r="C335" t="str">
        <f>("李士虹 ")</f>
        <v xml:space="preserve">李士虹 </v>
      </c>
      <c r="D335" t="str">
        <f>("文經社,")</f>
        <v>文經社,</v>
      </c>
      <c r="E335" t="str">
        <f>("425.3 8445 2005")</f>
        <v>425.3 8445 2005</v>
      </c>
      <c r="F335" t="str">
        <f>("2005")</f>
        <v>2005</v>
      </c>
      <c r="G335" t="str">
        <f>("大林慈院藏書區")</f>
        <v>大林慈院藏書區</v>
      </c>
    </row>
    <row r="336" spans="1:8">
      <c r="A336" t="str">
        <f>("D0015921")</f>
        <v>D0015921</v>
      </c>
      <c r="B336" t="str">
        <f>("修羞臉,不化妝也敢見人 :女醫師教你不長斑&amp;不長痘&amp;不暗沉的蜂蜜肌膚養成術! /")</f>
        <v>修羞臉,不化妝也敢見人 :女醫師教你不長斑&amp;不長痘&amp;不暗沉的蜂蜜肌膚養成術! /</v>
      </c>
      <c r="C336" t="str">
        <f>("金昭亨(醫學) ")</f>
        <v xml:space="preserve">金昭亨(醫學) </v>
      </c>
      <c r="D336" t="str">
        <f>("知遠文化總經銷,;瑞麗美人, 檸檬樹出版發行 :")</f>
        <v>知遠文化總經銷,;瑞麗美人, 檸檬樹出版發行 :</v>
      </c>
      <c r="E336" t="str">
        <f>("425.3 8654 2012")</f>
        <v>425.3 8654 2012</v>
      </c>
      <c r="F336" t="str">
        <f>("2012")</f>
        <v>2012</v>
      </c>
      <c r="G336" t="str">
        <f>("大林慈院藏書區")</f>
        <v>大林慈院藏書區</v>
      </c>
    </row>
    <row r="337" spans="1:8">
      <c r="A337" t="str">
        <f>("D0012968")</f>
        <v>D0012968</v>
      </c>
      <c r="B337" t="str">
        <f>("實用拼貼彩繪設計 =D'ecoupage art /")</f>
        <v>實用拼貼彩繪設計 =D'ecoupage art /</v>
      </c>
      <c r="C337" t="str">
        <f>("陳漢成(家政) ")</f>
        <v xml:space="preserve">陳漢成(家政) </v>
      </c>
      <c r="D337" t="str">
        <f>("雅事文化出版 :;朝日文化總經銷,")</f>
        <v>雅事文化出版 :;朝日文化總經銷,</v>
      </c>
      <c r="E337" t="str">
        <f>("426 8763 2012")</f>
        <v>426 8763 2012</v>
      </c>
      <c r="F337" t="str">
        <f>("2012")</f>
        <v>2012</v>
      </c>
      <c r="G337" t="str">
        <f>("大林慈院藏書區")</f>
        <v>大林慈院藏書區</v>
      </c>
      <c r="H337" t="str">
        <f>("公傳室")</f>
        <v>公傳室</v>
      </c>
    </row>
    <row r="338" spans="1:8">
      <c r="A338" t="str">
        <f>("D0002464")</f>
        <v>D0002464</v>
      </c>
      <c r="B338" t="str">
        <f>("簡單編出名媛包 /")</f>
        <v>簡單編出名媛包 /</v>
      </c>
      <c r="C338" t="str">
        <f>("車銀珠 ")</f>
        <v xml:space="preserve">車銀珠 </v>
      </c>
      <c r="D338" t="str">
        <f>("積木文化出版,")</f>
        <v>積木文化出版,</v>
      </c>
      <c r="E338" t="str">
        <f>("426.4 8597 2006")</f>
        <v>426.4 8597 2006</v>
      </c>
      <c r="F338" t="str">
        <f>("2006")</f>
        <v>2006</v>
      </c>
      <c r="G338" t="str">
        <f>("大林慈院藏書區")</f>
        <v>大林慈院藏書區</v>
      </c>
    </row>
    <row r="339" spans="1:8">
      <c r="A339" t="str">
        <f>("D0002669")</f>
        <v>D0002669</v>
      </c>
      <c r="B339" t="str">
        <f>("手作天然石飾品 :53款招來幸福的串珠禮物 /")</f>
        <v>手作天然石飾品 :53款招來幸福的串珠禮物 /</v>
      </c>
      <c r="C339" t="str">
        <f>("塚本美佳 ")</f>
        <v xml:space="preserve">塚本美佳 </v>
      </c>
      <c r="D339" t="str">
        <f>("積木文化出版,")</f>
        <v>積木文化出版,</v>
      </c>
      <c r="E339" t="str">
        <f>("426.4 8746 2006")</f>
        <v>426.4 8746 2006</v>
      </c>
      <c r="F339" t="str">
        <f>("2006")</f>
        <v>2006</v>
      </c>
      <c r="G339" t="str">
        <f>("大林慈院藏書區")</f>
        <v>大林慈院藏書區</v>
      </c>
    </row>
    <row r="340" spans="1:8">
      <c r="A340" t="str">
        <f>("D0002646")</f>
        <v>D0002646</v>
      </c>
      <c r="B340" t="str">
        <f>("麻球玩布日記 =Enjoy my handmade life /")</f>
        <v>麻球玩布日記 =Enjoy my handmade life /</v>
      </c>
      <c r="C340" t="str">
        <f>("麻球(家政) ")</f>
        <v xml:space="preserve">麻球(家政) </v>
      </c>
      <c r="D340" t="str">
        <f>("積木文化出版,")</f>
        <v>積木文化出版,</v>
      </c>
      <c r="E340" t="str">
        <f>("426.7 863 2007")</f>
        <v>426.7 863 2007</v>
      </c>
      <c r="F340" t="str">
        <f>("2007")</f>
        <v>2007</v>
      </c>
      <c r="G340" t="str">
        <f>("大林慈院藏書區")</f>
        <v>大林慈院藏書區</v>
      </c>
    </row>
    <row r="341" spans="1:8">
      <c r="A341" t="str">
        <f>("D0002620")</f>
        <v>D0002620</v>
      </c>
      <c r="B341" t="str">
        <f>("中山富美子熱情島國Mola拼布 /")</f>
        <v>中山富美子熱情島國Mola拼布 /</v>
      </c>
      <c r="C341" t="str">
        <f>("中山富美子 ")</f>
        <v xml:space="preserve">中山富美子 </v>
      </c>
      <c r="D341" t="str">
        <f>("積木文化出版,")</f>
        <v>積木文化出版,</v>
      </c>
      <c r="E341" t="str">
        <f>("426.7 8663 2007")</f>
        <v>426.7 8663 2007</v>
      </c>
      <c r="F341" t="str">
        <f>("2007")</f>
        <v>2007</v>
      </c>
      <c r="G341" t="str">
        <f>("大林慈院藏書區")</f>
        <v>大林慈院藏書區</v>
      </c>
    </row>
    <row r="342" spans="1:8">
      <c r="A342" t="str">
        <f>("D0015868")</f>
        <v>D0015868</v>
      </c>
      <c r="B342" t="str">
        <f>("食物與廚藝 : 蔬.果.香料.穀物 : 食物的起源、構成,以及各類食材變身為誘人美食的科學 / ")</f>
        <v xml:space="preserve">食物與廚藝 : 蔬.果.香料.穀物 : 食物的起源、構成,以及各類食材變身為誘人美食的科學 / </v>
      </c>
      <c r="C342" t="str">
        <f>("馬基(McGee, Harold) ")</f>
        <v xml:space="preserve">馬基(McGee, Harold) </v>
      </c>
      <c r="D342" t="str">
        <f>("遠足文化發行, ;大家出版 : ")</f>
        <v xml:space="preserve">遠足文化發行, ;大家出版 : </v>
      </c>
      <c r="E342" t="str">
        <f>("427 834 2009")</f>
        <v>427 834 2009</v>
      </c>
      <c r="F342" t="str">
        <f>("2009")</f>
        <v>2009</v>
      </c>
      <c r="G342" t="str">
        <f>("大林慈院藏書區")</f>
        <v>大林慈院藏書區</v>
      </c>
    </row>
    <row r="343" spans="1:8">
      <c r="A343" t="str">
        <f>("D0015829")</f>
        <v>D0015829</v>
      </c>
      <c r="B343" t="str">
        <f>("臺灣綠食堂 / ")</f>
        <v xml:space="preserve">臺灣綠食堂 / </v>
      </c>
      <c r="C343" t="str">
        <f>("潘美玲")</f>
        <v>潘美玲</v>
      </c>
      <c r="D343" t="str">
        <f>("經典雜誌 : ;慈濟傳播人文志業基金會, ")</f>
        <v xml:space="preserve">經典雜誌 : ;慈濟傳播人文志業基金會, </v>
      </c>
      <c r="E343" t="str">
        <f>("427 8363 2014")</f>
        <v>427 8363 2014</v>
      </c>
      <c r="F343" t="str">
        <f>("2014")</f>
        <v>2014</v>
      </c>
      <c r="G343" t="str">
        <f>("大林慈院藏書區")</f>
        <v>大林慈院藏書區</v>
      </c>
    </row>
    <row r="344" spans="1:8">
      <c r="A344" t="str">
        <f>("D0000923")</f>
        <v>D0000923</v>
      </c>
      <c r="B344" t="str">
        <f>("食物烹調原理與應用 =The principles and practice of cookery /")</f>
        <v>食物烹調原理與應用 =The principles and practice of cookery /</v>
      </c>
      <c r="C344" t="str">
        <f>("王瑤芬 ")</f>
        <v xml:space="preserve">王瑤芬 </v>
      </c>
      <c r="D344" t="str">
        <f>("偉華,")</f>
        <v>偉華,</v>
      </c>
      <c r="E344" t="str">
        <f>("427 8457 1997")</f>
        <v>427 8457 1997</v>
      </c>
      <c r="F344" t="str">
        <f>("1997")</f>
        <v>1997</v>
      </c>
      <c r="G344" t="str">
        <f>("大林慈院藏書區")</f>
        <v>大林慈院藏書區</v>
      </c>
    </row>
    <row r="345" spans="1:8">
      <c r="A345" t="str">
        <f>("D0014837")</f>
        <v>D0014837</v>
      </c>
      <c r="B345" t="str">
        <f>("譚敦慈的安心廚房食典 = Healthy kitchen / ")</f>
        <v xml:space="preserve">譚敦慈的安心廚房食典 = Healthy kitchen / </v>
      </c>
      <c r="C345" t="str">
        <f>("譚敦慈作")</f>
        <v>譚敦慈作</v>
      </c>
      <c r="D345" t="str">
        <f>("三采文化, ")</f>
        <v xml:space="preserve">三采文化, </v>
      </c>
      <c r="E345" t="str">
        <f>("427 8462 2016")</f>
        <v>427 8462 2016</v>
      </c>
      <c r="F345" t="str">
        <f>("2016")</f>
        <v>2016</v>
      </c>
      <c r="G345" t="str">
        <f>("大林慈院藏書區")</f>
        <v>大林慈院藏書區</v>
      </c>
      <c r="H345" t="str">
        <f>("腫瘤中心")</f>
        <v>腫瘤中心</v>
      </c>
    </row>
    <row r="346" spans="1:8">
      <c r="A346" t="str">
        <f>("D0016722")</f>
        <v>D0016722</v>
      </c>
      <c r="B346" t="str">
        <f>("廚藝祕訣超圖解 :700則美味的關鍵祕訣 超強剖面透視圖解 瞬間提升你的廚藝 /")</f>
        <v>廚藝祕訣超圖解 :700則美味的關鍵祕訣 超強剖面透視圖解 瞬間提升你的廚藝 /</v>
      </c>
      <c r="C346" t="str">
        <f>("Caisne, Arthur Le.")</f>
        <v>Caisne, Arthur Le.</v>
      </c>
      <c r="D346" t="str">
        <f>("漫遊者文化,")</f>
        <v>漫遊者文化,</v>
      </c>
      <c r="E346" t="str">
        <f>("427 855 2020")</f>
        <v>427 855 2020</v>
      </c>
      <c r="F346" t="str">
        <f>("2020")</f>
        <v>2020</v>
      </c>
      <c r="G346" t="str">
        <f>("大林慈院藏書區")</f>
        <v>大林慈院藏書區</v>
      </c>
      <c r="H346" t="str">
        <f>("腫瘤中心")</f>
        <v>腫瘤中心</v>
      </c>
    </row>
    <row r="347" spans="1:8">
      <c r="A347" t="str">
        <f>("D0012781")</f>
        <v>D0012781</v>
      </c>
      <c r="B347" t="str">
        <f>("自耕自食.奇蹟的一年 :一個最低食物里程的成功實驗 /")</f>
        <v>自耕自食.奇蹟的一年 :一個最低食物里程的成功實驗 /</v>
      </c>
      <c r="C347" t="str">
        <f>("金索維爾(Kingsolver, Barbara) ")</f>
        <v xml:space="preserve">金索維爾(Kingsolver, Barbara) </v>
      </c>
      <c r="D347" t="str">
        <f>("天下遠見出版,")</f>
        <v>天下遠見出版,</v>
      </c>
      <c r="E347" t="str">
        <f>("427 8637 2008")</f>
        <v>427 8637 2008</v>
      </c>
      <c r="F347" t="str">
        <f>("2008")</f>
        <v>2008</v>
      </c>
      <c r="G347" t="str">
        <f>("大林慈院藏書區")</f>
        <v>大林慈院藏書區</v>
      </c>
    </row>
    <row r="348" spans="1:8">
      <c r="A348" t="str">
        <f>("D0016049")</f>
        <v>D0016049</v>
      </c>
      <c r="B348" t="str">
        <f>("廚藝好好玩 :探究真正飲食科學.破解廚房祕技.料理好食物 /")</f>
        <v>廚藝好好玩 :探究真正飲食科學.破解廚房祕技.料理好食物 /</v>
      </c>
      <c r="C348" t="str">
        <f>("波特(Potter, Jeff) ")</f>
        <v xml:space="preserve">波特(Potter, Jeff) </v>
      </c>
      <c r="D348" t="str">
        <f>("奇光,")</f>
        <v>奇光,</v>
      </c>
      <c r="E348" t="str">
        <f>("427 865 2017")</f>
        <v>427 865 2017</v>
      </c>
      <c r="F348" t="str">
        <f>("2017")</f>
        <v>2017</v>
      </c>
      <c r="G348" t="str">
        <f>("大林慈院藏書區")</f>
        <v>大林慈院藏書區</v>
      </c>
      <c r="H348" t="str">
        <f>("腫瘤中心 ")</f>
        <v xml:space="preserve">腫瘤中心 </v>
      </c>
    </row>
    <row r="349" spans="1:8">
      <c r="A349" t="str">
        <f>("D0013446")</f>
        <v>D0013446</v>
      </c>
      <c r="B349" t="str">
        <f>("打造樂活吃的幸福 :一個樂活/環保/減碳的吃的革命 /")</f>
        <v>打造樂活吃的幸福 :一個樂活/環保/減碳的吃的革命 /</v>
      </c>
      <c r="C349" t="str">
        <f>("史密斯(Smith, Alisa, 1971-) ")</f>
        <v xml:space="preserve">史密斯(Smith, Alisa, 1971-) </v>
      </c>
      <c r="D349" t="str">
        <f>("博雅書屋,")</f>
        <v>博雅書屋,</v>
      </c>
      <c r="E349" t="str">
        <f>("427 8845 2009")</f>
        <v>427 8845 2009</v>
      </c>
      <c r="F349" t="str">
        <f>("2009")</f>
        <v>2009</v>
      </c>
      <c r="G349" t="str">
        <f>("大林慈院藏書區")</f>
        <v>大林慈院藏書區</v>
      </c>
    </row>
    <row r="350" spans="1:8">
      <c r="A350" t="str">
        <f>("D0009324")</f>
        <v>D0009324</v>
      </c>
      <c r="B350" t="str">
        <f>("酸甜苦辣 /")</f>
        <v>酸甜苦辣 /</v>
      </c>
      <c r="C350" t="str">
        <f>("李瑞騰 ")</f>
        <v xml:space="preserve">李瑞騰 </v>
      </c>
      <c r="D350" t="str">
        <f>("國立中央大學校史館,")</f>
        <v>國立中央大學校史館,</v>
      </c>
      <c r="E350" t="str">
        <f>("427.07 8455 2006")</f>
        <v>427.07 8455 2006</v>
      </c>
      <c r="F350" t="str">
        <f>("2006")</f>
        <v>2006</v>
      </c>
      <c r="G350" t="str">
        <f>("大林慈院藏書區")</f>
        <v>大林慈院藏書區</v>
      </c>
    </row>
    <row r="351" spans="1:8">
      <c r="A351" t="str">
        <f>("D0015827")</f>
        <v>D0015827</v>
      </c>
      <c r="B351" t="str">
        <f>("餐桌上的真食 : 用腦決定飲食風景,吃出環境永續 / ")</f>
        <v xml:space="preserve">餐桌上的真食 : 用腦決定飲食風景,吃出環境永續 / </v>
      </c>
      <c r="C351" t="str">
        <f>("蔡佳珊撰文")</f>
        <v>蔡佳珊撰文</v>
      </c>
      <c r="D351" t="str">
        <f>("經典雜誌 : ;慈濟傳播人文志業基金會, ")</f>
        <v xml:space="preserve">經典雜誌 : ;慈濟傳播人文志業基金會, </v>
      </c>
      <c r="E351" t="str">
        <f>("427.07 8464 2016")</f>
        <v>427.07 8464 2016</v>
      </c>
      <c r="F351" t="str">
        <f>("2016")</f>
        <v>2016</v>
      </c>
      <c r="G351" t="str">
        <f>("大林慈院藏書區")</f>
        <v>大林慈院藏書區</v>
      </c>
    </row>
    <row r="352" spans="1:8">
      <c r="A352" t="str">
        <f>("D0016114")</f>
        <v>D0016114</v>
      </c>
      <c r="B352" t="str">
        <f>("敬!我們的美味人生 :貴婦奈奈x藍帶主廚,從12個精彩人生慢燉出的暖心料理 /")</f>
        <v>敬!我們的美味人生 :貴婦奈奈x藍帶主廚,從12個精彩人生慢燉出的暖心料理 /</v>
      </c>
      <c r="C352" t="str">
        <f>("貴婦奈奈(心理學) ")</f>
        <v xml:space="preserve">貴婦奈奈(心理學) </v>
      </c>
      <c r="D352" t="str">
        <f>("叩應經銷,;圓神出版 :")</f>
        <v>叩應經銷,;圓神出版 :</v>
      </c>
      <c r="E352" t="str">
        <f>("427.07 8473 2015")</f>
        <v>427.07 8473 2015</v>
      </c>
      <c r="F352" t="str">
        <f>("2015")</f>
        <v>2015</v>
      </c>
      <c r="G352" t="str">
        <f>("大林慈院藏書區")</f>
        <v>大林慈院藏書區</v>
      </c>
    </row>
    <row r="353" spans="1:8">
      <c r="A353" t="str">
        <f>("D0007637")</f>
        <v>D0007637</v>
      </c>
      <c r="B353" t="str">
        <f>("大珠小珠在玉盤 :什錦水果拼盤 /")</f>
        <v>大珠小珠在玉盤 :什錦水果拼盤 /</v>
      </c>
      <c r="C353" t="str">
        <f>("陳忠良著. ")</f>
        <v xml:space="preserve">陳忠良著. </v>
      </c>
      <c r="D353" t="str">
        <f>("唐代文化,")</f>
        <v>唐代文化,</v>
      </c>
      <c r="E353" t="str">
        <f>("427.088 8746 1992")</f>
        <v>427.088 8746 1992</v>
      </c>
      <c r="F353" t="str">
        <f>("1992")</f>
        <v>1992</v>
      </c>
      <c r="G353" t="str">
        <f>("大林慈院藏書區")</f>
        <v>大林慈院藏書區</v>
      </c>
    </row>
    <row r="354" spans="1:8">
      <c r="A354" t="str">
        <f>("D0011990")</f>
        <v>D0011990</v>
      </c>
      <c r="B354" t="str">
        <f>("高血脂美食策略 /")</f>
        <v>高血脂美食策略 /</v>
      </c>
      <c r="C354" t="str">
        <f>("蔡玲貞 ")</f>
        <v xml:space="preserve">蔡玲貞 </v>
      </c>
      <c r="D354" t="str">
        <f>("二魚文化出版,")</f>
        <v>二魚文化出版,</v>
      </c>
      <c r="E354" t="str">
        <f>("427.1 8434 2003")</f>
        <v>427.1 8434 2003</v>
      </c>
      <c r="F354" t="str">
        <f>("2003")</f>
        <v>2003</v>
      </c>
      <c r="G354" t="str">
        <f>("大林慈院藏書區")</f>
        <v>大林慈院藏書區</v>
      </c>
    </row>
    <row r="355" spans="1:8">
      <c r="A355" t="str">
        <f>("D0012802")</f>
        <v>D0012802</v>
      </c>
      <c r="B355" t="str">
        <f>("糖尿病腎病變食譜 /")</f>
        <v>糖尿病腎病變食譜 /</v>
      </c>
      <c r="C355" t="str">
        <f>("許碧惠(食品科學) ")</f>
        <v xml:space="preserve">許碧惠(食品科學) </v>
      </c>
      <c r="D355" t="str">
        <f>("糖尿病衛教學會,")</f>
        <v>糖尿病衛教學會,</v>
      </c>
      <c r="E355" t="str">
        <f>("427.1 8443 2012")</f>
        <v>427.1 8443 2012</v>
      </c>
      <c r="F355" t="str">
        <f>("2012")</f>
        <v>2012</v>
      </c>
      <c r="G355" t="str">
        <f>("大林慈院藏書區")</f>
        <v>大林慈院藏書區</v>
      </c>
    </row>
    <row r="356" spans="1:8">
      <c r="A356" t="str">
        <f>("D0007636")</f>
        <v>D0007636</v>
      </c>
      <c r="B356" t="str">
        <f>("低卡路里食譜 =Low calorie food /")</f>
        <v>低卡路里食譜 =Low calorie food /</v>
      </c>
      <c r="C356" t="str">
        <f>("王雅惠(家政) ")</f>
        <v xml:space="preserve">王雅惠(家政) </v>
      </c>
      <c r="D356" t="str">
        <f>("將門文物,")</f>
        <v>將門文物,</v>
      </c>
      <c r="E356" t="str">
        <f>("427.1 8446 1997")</f>
        <v>427.1 8446 1997</v>
      </c>
      <c r="F356" t="str">
        <f>("1997")</f>
        <v>1997</v>
      </c>
      <c r="G356" t="str">
        <f>("大林慈院藏書區")</f>
        <v>大林慈院藏書區</v>
      </c>
    </row>
    <row r="357" spans="1:8">
      <c r="A357" t="str">
        <f>("D0012617")</f>
        <v>D0012617</v>
      </c>
      <c r="B357" t="str">
        <f>("美味情人餐 =Lover's love meal /")</f>
        <v>美味情人餐 =Lover's love meal /</v>
      </c>
      <c r="C357" t="str">
        <f>("小小米桶 ")</f>
        <v xml:space="preserve">小小米桶 </v>
      </c>
      <c r="D357" t="str">
        <f>("非馬,")</f>
        <v>非馬,</v>
      </c>
      <c r="E357" t="str">
        <f>("427.1 8446:2 2007")</f>
        <v>427.1 8446:2 2007</v>
      </c>
      <c r="F357" t="str">
        <f>("2007")</f>
        <v>2007</v>
      </c>
      <c r="G357" t="str">
        <f>("大林慈院藏書區")</f>
        <v>大林慈院藏書區</v>
      </c>
    </row>
    <row r="358" spans="1:8">
      <c r="A358" t="str">
        <f>("D0005716")</f>
        <v>D0005716</v>
      </c>
      <c r="B358" t="str">
        <f>("健康優生懷孕食譜 /")</f>
        <v>健康優生懷孕食譜 /</v>
      </c>
      <c r="C358" t="str">
        <f>("郭月英 ")</f>
        <v xml:space="preserve">郭月英 </v>
      </c>
      <c r="D358" t="str">
        <f>("傳統色出版,")</f>
        <v>傳統色出版,</v>
      </c>
      <c r="E358" t="str">
        <f>("427.1 8468 1999")</f>
        <v>427.1 8468 1999</v>
      </c>
      <c r="F358" t="str">
        <f>("1999")</f>
        <v>1999</v>
      </c>
      <c r="G358" t="str">
        <f>("大林慈院藏書區")</f>
        <v>大林慈院藏書區</v>
      </c>
    </row>
    <row r="359" spans="1:8">
      <c r="A359" t="str">
        <f>("D0002594")</f>
        <v>D0002594</v>
      </c>
      <c r="B359" t="str">
        <f>("肝淨美食 :50道名中醫與一流廚藝家攜手調配的養肝食譜 /")</f>
        <v>肝淨美食 :50道名中醫與一流廚藝家攜手調配的養肝食譜 /</v>
      </c>
      <c r="C359" t="str">
        <f>("郭月英 ")</f>
        <v xml:space="preserve">郭月英 </v>
      </c>
      <c r="D359" t="str">
        <f>("二魚文化出版,")</f>
        <v>二魚文化出版,</v>
      </c>
      <c r="E359" t="str">
        <f>("427.1 8468 2002")</f>
        <v>427.1 8468 2002</v>
      </c>
      <c r="F359" t="str">
        <f>("2002")</f>
        <v>2002</v>
      </c>
      <c r="G359" t="str">
        <f>("大林慈院藏書區")</f>
        <v>大林慈院藏書區</v>
      </c>
    </row>
    <row r="360" spans="1:8">
      <c r="A360" t="str">
        <f>("D0017009")</f>
        <v>D0017009</v>
      </c>
      <c r="B360" t="str">
        <f>("給孩子的限醣成長食譜 /")</f>
        <v>給孩子的限醣成長食譜 /</v>
      </c>
      <c r="C360" t="str">
        <f>("三島學著")</f>
        <v>三島學著</v>
      </c>
      <c r="D360" t="str">
        <f>("精誠資訊, ")</f>
        <v xml:space="preserve">精誠資訊, </v>
      </c>
      <c r="E360" t="str">
        <f>("427.1 8476 2021")</f>
        <v>427.1 8476 2021</v>
      </c>
      <c r="F360" t="str">
        <f>("2021")</f>
        <v>2021</v>
      </c>
      <c r="G360" t="str">
        <f>("大林慈院藏書區")</f>
        <v>大林慈院藏書區</v>
      </c>
      <c r="H360" t="str">
        <f>("學習資源組")</f>
        <v>學習資源組</v>
      </c>
    </row>
    <row r="361" spans="1:8">
      <c r="A361" t="str">
        <f>("D0009635")</f>
        <v>D0009635</v>
      </c>
      <c r="B361" t="str">
        <f>("咖哩.香辣菜:風味百變的辛香料")</f>
        <v>咖哩.香辣菜:風味百變的辛香料</v>
      </c>
      <c r="C361" t="str">
        <f>("")</f>
        <v/>
      </c>
      <c r="D361" t="str">
        <f>("生活品味")</f>
        <v>生活品味</v>
      </c>
      <c r="E361" t="str">
        <f>("427.1 8484 2002")</f>
        <v>427.1 8484 2002</v>
      </c>
      <c r="F361" t="str">
        <f>("2002")</f>
        <v>2002</v>
      </c>
      <c r="G361" t="str">
        <f>("大林慈院藏書區")</f>
        <v>大林慈院藏書區</v>
      </c>
    </row>
    <row r="362" spans="1:8">
      <c r="A362" t="str">
        <f>("D0016048")</f>
        <v>D0016048</v>
      </c>
      <c r="B362" t="str">
        <f>("料理實驗室 :每一道美味,都是有趣的科學遊戲 /")</f>
        <v>料理實驗室 :每一道美味,都是有趣的科學遊戲 /</v>
      </c>
      <c r="C362" t="str">
        <f>("羅培茲奧特(Lpez-Alt, J. Kenji) ")</f>
        <v xml:space="preserve">羅培茲奧特(Lpez-Alt, J. Kenji) </v>
      </c>
      <c r="D362" t="str">
        <f>("精誠資訊,")</f>
        <v>精誠資訊,</v>
      </c>
      <c r="E362" t="str">
        <f>("427.1 8544 2017")</f>
        <v>427.1 8544 2017</v>
      </c>
      <c r="F362" t="str">
        <f>("2017")</f>
        <v>2017</v>
      </c>
      <c r="G362" t="str">
        <f>("大林慈院藏書區")</f>
        <v>大林慈院藏書區</v>
      </c>
      <c r="H362" t="str">
        <f>("腫瘤中心 ")</f>
        <v xml:space="preserve">腫瘤中心 </v>
      </c>
    </row>
    <row r="363" spans="1:8">
      <c r="A363" t="str">
        <f>("D0006934")</f>
        <v>D0006934</v>
      </c>
      <c r="B363" t="str">
        <f>("雷久南大大自然健康食譜")</f>
        <v>雷久南大大自然健康食譜</v>
      </c>
      <c r="C363" t="str">
        <f>("")</f>
        <v/>
      </c>
      <c r="D363" t="str">
        <f>("琉璃光")</f>
        <v>琉璃光</v>
      </c>
      <c r="E363" t="str">
        <f>("427.1 8553 1993")</f>
        <v>427.1 8553 1993</v>
      </c>
      <c r="F363" t="str">
        <f>("1993")</f>
        <v>1993</v>
      </c>
      <c r="G363" t="str">
        <f>("大林慈院藏書區")</f>
        <v>大林慈院藏書區</v>
      </c>
    </row>
    <row r="364" spans="1:8">
      <c r="A364" t="str">
        <f>("D0001871")</f>
        <v>D0001871</v>
      </c>
      <c r="B364" t="str">
        <f>("失眠食譜 /")</f>
        <v>失眠食譜 /</v>
      </c>
      <c r="C364" t="str">
        <f>("廖美麗 ")</f>
        <v xml:space="preserve">廖美麗 </v>
      </c>
      <c r="D364" t="str">
        <f>("二魚文化出版,")</f>
        <v>二魚文化出版,</v>
      </c>
      <c r="E364" t="str">
        <f>("427.1 8565 2002")</f>
        <v>427.1 8565 2002</v>
      </c>
      <c r="F364" t="str">
        <f>("2002")</f>
        <v>2002</v>
      </c>
      <c r="G364" t="str">
        <f>("大林慈院藏書區")</f>
        <v>大林慈院藏書區</v>
      </c>
    </row>
    <row r="365" spans="1:8">
      <c r="A365" t="str">
        <f>("D0011071")</f>
        <v>D0011071</v>
      </c>
      <c r="B365" t="str">
        <f>("家常瘦身食譜 /")</f>
        <v>家常瘦身食譜 /</v>
      </c>
      <c r="C365" t="str">
        <f>("尹實嘉 ")</f>
        <v xml:space="preserve">尹實嘉 </v>
      </c>
      <c r="D365" t="str">
        <f>("四知堂出版,")</f>
        <v>四知堂出版,</v>
      </c>
      <c r="E365" t="str">
        <f>("427.1 8624 2000")</f>
        <v>427.1 8624 2000</v>
      </c>
      <c r="F365" t="str">
        <f>("2000")</f>
        <v>2000</v>
      </c>
      <c r="G365" t="str">
        <f>("大林慈院藏書區")</f>
        <v>大林慈院藏書區</v>
      </c>
    </row>
    <row r="366" spans="1:8">
      <c r="A366" t="str">
        <f>("D0001922")</f>
        <v>D0001922</v>
      </c>
      <c r="B366" t="str">
        <f>("高鈣食譜 /")</f>
        <v>高鈣食譜 /</v>
      </c>
      <c r="C366" t="str">
        <f>("彭巧珍 ")</f>
        <v xml:space="preserve">彭巧珍 </v>
      </c>
      <c r="D366" t="str">
        <f>("二魚文化出版,")</f>
        <v>二魚文化出版,</v>
      </c>
      <c r="E366" t="str">
        <f>("427.1 8656 2003")</f>
        <v>427.1 8656 2003</v>
      </c>
      <c r="F366" t="str">
        <f>("2003")</f>
        <v>2003</v>
      </c>
      <c r="G366" t="str">
        <f>("大林慈院藏書區")</f>
        <v>大林慈院藏書區</v>
      </c>
    </row>
    <row r="367" spans="1:8">
      <c r="A367" t="str">
        <f>("D0012576")</f>
        <v>D0012576</v>
      </c>
      <c r="B367" t="str">
        <f>("養生益壽食譜 /")</f>
        <v>養生益壽食譜 /</v>
      </c>
      <c r="C367" t="str">
        <f>("方良柱 ")</f>
        <v xml:space="preserve">方良柱 </v>
      </c>
      <c r="D367" t="str">
        <f>("讀者文摘遠東公司,")</f>
        <v>讀者文摘遠東公司,</v>
      </c>
      <c r="E367" t="str">
        <f>("427.1 8663 2009")</f>
        <v>427.1 8663 2009</v>
      </c>
      <c r="F367" t="str">
        <f>("2009")</f>
        <v>2009</v>
      </c>
      <c r="G367" t="str">
        <f>("大林慈院藏書區")</f>
        <v>大林慈院藏書區</v>
      </c>
    </row>
    <row r="368" spans="1:8">
      <c r="A368" t="str">
        <f>("D0007635")</f>
        <v>D0007635</v>
      </c>
      <c r="B368" t="str">
        <f>("減肥食譜 =Diet food /")</f>
        <v>減肥食譜 =Diet food /</v>
      </c>
      <c r="C368" t="str">
        <f>("陳珊如 ")</f>
        <v xml:space="preserve">陳珊如 </v>
      </c>
      <c r="D368" t="str">
        <f>("將門文物,")</f>
        <v>將門文物,</v>
      </c>
      <c r="E368" t="str">
        <f>("427.1 8746 1997")</f>
        <v>427.1 8746 1997</v>
      </c>
      <c r="F368" t="str">
        <f>("1997")</f>
        <v>1997</v>
      </c>
      <c r="G368" t="str">
        <f>("大林慈院藏書區")</f>
        <v>大林慈院藏書區</v>
      </c>
    </row>
    <row r="369" spans="1:7">
      <c r="A369" t="str">
        <f>("D0007414")</f>
        <v>D0007414</v>
      </c>
      <c r="B369" t="str">
        <f>("經典沙拉 =Classical salad /")</f>
        <v>經典沙拉 =Classical salad /</v>
      </c>
      <c r="C369" t="str">
        <f>("林麗娟(大眾傳播) ")</f>
        <v xml:space="preserve">林麗娟(大眾傳播) </v>
      </c>
      <c r="D369" t="str">
        <f>("喜鵲文化出版,")</f>
        <v>喜鵲文化出版,</v>
      </c>
      <c r="E369" t="str">
        <f>("427.1 8756 2003")</f>
        <v>427.1 8756 2003</v>
      </c>
      <c r="F369" t="str">
        <f>("2003")</f>
        <v>2003</v>
      </c>
      <c r="G369" t="str">
        <f>("大林慈院藏書區")</f>
        <v>大林慈院藏書區</v>
      </c>
    </row>
    <row r="370" spans="1:7">
      <c r="A370" t="str">
        <f>("D0005976")</f>
        <v>D0005976</v>
      </c>
      <c r="B370" t="str">
        <f>("孕產婦食譜DIY /")</f>
        <v>孕產婦食譜DIY /</v>
      </c>
      <c r="C370" t="str">
        <f>("張瑛玿(家政) ")</f>
        <v xml:space="preserve">張瑛玿(家政) </v>
      </c>
      <c r="D370" t="str">
        <f>("婦幼家庭出版,")</f>
        <v>婦幼家庭出版,</v>
      </c>
      <c r="E370" t="str">
        <f>("427.1 8774 1999")</f>
        <v>427.1 8774 1999</v>
      </c>
      <c r="F370" t="str">
        <f>("1999")</f>
        <v>1999</v>
      </c>
      <c r="G370" t="str">
        <f>("大林慈院藏書區")</f>
        <v>大林慈院藏書區</v>
      </c>
    </row>
    <row r="371" spans="1:7">
      <c r="A371" t="str">
        <f>("D0007487")</f>
        <v>D0007487</v>
      </c>
      <c r="B371" t="str">
        <f>("美容食譜 /")</f>
        <v>美容食譜 /</v>
      </c>
      <c r="C371" t="str">
        <f>("蔣金龍主編 ")</f>
        <v xml:space="preserve">蔣金龍主編 </v>
      </c>
      <c r="D371" t="str">
        <f>("唐代,")</f>
        <v>唐代,</v>
      </c>
      <c r="E371" t="str">
        <f>("427.11 8463 1995")</f>
        <v>427.11 8463 1995</v>
      </c>
      <c r="F371" t="str">
        <f>("1995")</f>
        <v>1995</v>
      </c>
      <c r="G371" t="str">
        <f>("大林慈院藏書區")</f>
        <v>大林慈院藏書區</v>
      </c>
    </row>
    <row r="372" spans="1:7">
      <c r="A372" t="str">
        <f>("D0007633")</f>
        <v>D0007633</v>
      </c>
      <c r="B372" t="str">
        <f>("窈窕低卡餐 /")</f>
        <v>窈窕低卡餐 /</v>
      </c>
      <c r="C372" t="str">
        <f>("蔣金龍 ")</f>
        <v xml:space="preserve">蔣金龍 </v>
      </c>
      <c r="D372" t="str">
        <f>("唐代文化,")</f>
        <v>唐代文化,</v>
      </c>
      <c r="E372" t="str">
        <f>("427.11 8463 1997")</f>
        <v>427.11 8463 1997</v>
      </c>
      <c r="F372" t="str">
        <f>("1997")</f>
        <v>1997</v>
      </c>
      <c r="G372" t="str">
        <f>("大林慈院藏書區")</f>
        <v>大林慈院藏書區</v>
      </c>
    </row>
    <row r="373" spans="1:7">
      <c r="A373" t="str">
        <f>("D0007489")</f>
        <v>D0007489</v>
      </c>
      <c r="B373" t="str">
        <f>("養顏食譜 /")</f>
        <v>養顏食譜 /</v>
      </c>
      <c r="C373" t="str">
        <f>("蔣金龍主編 ")</f>
        <v xml:space="preserve">蔣金龍主編 </v>
      </c>
      <c r="D373" t="str">
        <f>("唐代文化,")</f>
        <v>唐代文化,</v>
      </c>
      <c r="E373" t="str">
        <f>("427.11 8463:2 1995")</f>
        <v>427.11 8463:2 1995</v>
      </c>
      <c r="F373" t="str">
        <f>("1995")</f>
        <v>1995</v>
      </c>
      <c r="G373" t="str">
        <f>("大林慈院藏書區")</f>
        <v>大林慈院藏書區</v>
      </c>
    </row>
    <row r="374" spans="1:7">
      <c r="A374" t="str">
        <f>("D0007544")</f>
        <v>D0007544</v>
      </c>
      <c r="B374" t="str">
        <f>("男人固氣食譜 /")</f>
        <v>男人固氣食譜 /</v>
      </c>
      <c r="C374" t="str">
        <f>("蔣金龍 ")</f>
        <v xml:space="preserve">蔣金龍 </v>
      </c>
      <c r="D374" t="str">
        <f>("唐代文化,")</f>
        <v>唐代文化,</v>
      </c>
      <c r="E374" t="str">
        <f>("427.11 8463:2 1995")</f>
        <v>427.11 8463:2 1995</v>
      </c>
      <c r="F374" t="str">
        <f>("1995")</f>
        <v>1995</v>
      </c>
      <c r="G374" t="str">
        <f>("大林慈院藏書區")</f>
        <v>大林慈院藏書區</v>
      </c>
    </row>
    <row r="375" spans="1:7">
      <c r="A375" t="str">
        <f>("D0007543")</f>
        <v>D0007543</v>
      </c>
      <c r="B375" t="str">
        <f>("男人養精食譜 /")</f>
        <v>男人養精食譜 /</v>
      </c>
      <c r="C375" t="str">
        <f>("蔣金龍 ")</f>
        <v xml:space="preserve">蔣金龍 </v>
      </c>
      <c r="D375" t="str">
        <f>("唐代文化,")</f>
        <v>唐代文化,</v>
      </c>
      <c r="E375" t="str">
        <f>("427.11 8463:3 1995")</f>
        <v>427.11 8463:3 1995</v>
      </c>
      <c r="F375" t="str">
        <f>("1995")</f>
        <v>1995</v>
      </c>
      <c r="G375" t="str">
        <f>("大林慈院藏書區")</f>
        <v>大林慈院藏書區</v>
      </c>
    </row>
    <row r="376" spans="1:7">
      <c r="A376" t="str">
        <f>("D0005717")</f>
        <v>D0005717</v>
      </c>
      <c r="B376" t="str">
        <f>("100種懷孕媽媽美味食譜 /")</f>
        <v>100種懷孕媽媽美味食譜 /</v>
      </c>
      <c r="C376" t="str">
        <f>("小川聖子 ;魏珠恩 ")</f>
        <v xml:space="preserve">小川聖子 ;魏珠恩 </v>
      </c>
      <c r="D376" t="str">
        <f>("漢昇書屋出版,")</f>
        <v>漢昇書屋出版,</v>
      </c>
      <c r="E376" t="str">
        <f>("427.11 8474 1998")</f>
        <v>427.11 8474 1998</v>
      </c>
      <c r="F376" t="str">
        <f>("1998")</f>
        <v>1998</v>
      </c>
      <c r="G376" t="str">
        <f>("大林慈院藏書區")</f>
        <v>大林慈院藏書區</v>
      </c>
    </row>
    <row r="377" spans="1:7">
      <c r="A377" t="str">
        <f>("D0002665")</f>
        <v>D0002665</v>
      </c>
      <c r="B377" t="str">
        <f>("坐月子補也能瘦 /")</f>
        <v>坐月子補也能瘦 /</v>
      </c>
      <c r="C377" t="str">
        <f>("莊壽美 ")</f>
        <v xml:space="preserve">莊壽美 </v>
      </c>
      <c r="D377" t="str">
        <f>("廣河堂出版,")</f>
        <v>廣河堂出版,</v>
      </c>
      <c r="E377" t="str">
        <f>("427.11 8536 2002")</f>
        <v>427.11 8536 2002</v>
      </c>
      <c r="F377" t="str">
        <f>("2002")</f>
        <v>2002</v>
      </c>
      <c r="G377" t="str">
        <f>("大林慈院藏書區")</f>
        <v>大林慈院藏書區</v>
      </c>
    </row>
    <row r="378" spans="1:7">
      <c r="A378" t="str">
        <f>("D0004221")</f>
        <v>D0004221</v>
      </c>
      <c r="B378" t="str">
        <f>("培梅飯盒食譜")</f>
        <v>培梅飯盒食譜</v>
      </c>
      <c r="C378" t="str">
        <f>("")</f>
        <v/>
      </c>
      <c r="D378" t="str">
        <f>("三友圖書")</f>
        <v>三友圖書</v>
      </c>
      <c r="E378" t="str">
        <f>("427.11 8543 1992")</f>
        <v>427.11 8543 1992</v>
      </c>
      <c r="F378" t="str">
        <f>("1992")</f>
        <v>1992</v>
      </c>
      <c r="G378" t="str">
        <f>("大林慈院藏書區")</f>
        <v>大林慈院藏書區</v>
      </c>
    </row>
    <row r="379" spans="1:7">
      <c r="A379" t="str">
        <f>("D0007042")</f>
        <v>D0007042</v>
      </c>
      <c r="B379" t="str">
        <f>("自然飲食健康食譜")</f>
        <v>自然飲食健康食譜</v>
      </c>
      <c r="C379" t="str">
        <f>("")</f>
        <v/>
      </c>
      <c r="D379" t="str">
        <f>("旭清")</f>
        <v>旭清</v>
      </c>
      <c r="E379" t="str">
        <f>("427.11 8743 2004")</f>
        <v>427.11 8743 2004</v>
      </c>
      <c r="F379" t="str">
        <f>("2004")</f>
        <v>2004</v>
      </c>
      <c r="G379" t="str">
        <f>("大林慈院藏書區")</f>
        <v>大林慈院藏書區</v>
      </c>
    </row>
    <row r="380" spans="1:7">
      <c r="A380" t="str">
        <f>("D0014454")</f>
        <v>D0014454</v>
      </c>
      <c r="B380" t="str">
        <f>("飯店超人氣甜點．輕鬆在家做 = Ultra-popular dessert / ")</f>
        <v xml:space="preserve">飯店超人氣甜點．輕鬆在家做 = Ultra-popular dessert / </v>
      </c>
      <c r="C380" t="str">
        <f>("郭士弘著 ")</f>
        <v xml:space="preserve">郭士弘著 </v>
      </c>
      <c r="D380" t="str">
        <f>("臺視文化, ")</f>
        <v xml:space="preserve">臺視文化, </v>
      </c>
      <c r="E380" t="str">
        <f>("427.16 8443 2011")</f>
        <v>427.16 8443 2011</v>
      </c>
      <c r="F380" t="str">
        <f>("2011")</f>
        <v>2011</v>
      </c>
      <c r="G380" t="str">
        <f>("大林慈院藏書區")</f>
        <v>大林慈院藏書區</v>
      </c>
    </row>
    <row r="381" spans="1:7">
      <c r="A381" t="str">
        <f>("D0012630")</f>
        <v>D0012630</v>
      </c>
      <c r="B381" t="str">
        <f>("第一次學做手工麵包!超安心 /")</f>
        <v>第一次學做手工麵包!超安心 /</v>
      </c>
      <c r="C381" t="str">
        <f>("韋太作 ")</f>
        <v xml:space="preserve">韋太作 </v>
      </c>
      <c r="D381" t="str">
        <f>("橘子文化,")</f>
        <v>橘子文化,</v>
      </c>
      <c r="E381" t="str">
        <f>("427.16 853 2014")</f>
        <v>427.16 853 2014</v>
      </c>
      <c r="F381" t="str">
        <f>("2014")</f>
        <v>2014</v>
      </c>
      <c r="G381" t="str">
        <f>("大林慈院藏書區")</f>
        <v>大林慈院藏書區</v>
      </c>
    </row>
    <row r="382" spans="1:7">
      <c r="A382" t="str">
        <f>("D0003268")</f>
        <v>D0003268</v>
      </c>
      <c r="B382" t="str">
        <f>("海鮮的美味輓歌 : 一位老饕的環球行動 / ")</f>
        <v xml:space="preserve">海鮮的美味輓歌 : 一位老饕的環球行動 / </v>
      </c>
      <c r="C382" t="str">
        <f>("格雷斯哥(Grescoe, Taras)著")</f>
        <v>格雷斯哥(Grescoe, Taras)著</v>
      </c>
      <c r="D382" t="str">
        <f>("時報文化, ")</f>
        <v xml:space="preserve">時報文化, </v>
      </c>
      <c r="E382" t="str">
        <f>("427.25 8445 2009")</f>
        <v>427.25 8445 2009</v>
      </c>
      <c r="F382" t="str">
        <f>("2009")</f>
        <v>2009</v>
      </c>
      <c r="G382" t="str">
        <f>("大林慈院藏書區")</f>
        <v>大林慈院藏書區</v>
      </c>
    </row>
    <row r="383" spans="1:7">
      <c r="A383" t="str">
        <f>("D0008453")</f>
        <v>D0008453</v>
      </c>
      <c r="B383" t="str">
        <f>("樸食人生 / ")</f>
        <v xml:space="preserve">樸食人生 / </v>
      </c>
      <c r="C383" t="str">
        <f>("曹麗雲著")</f>
        <v>曹麗雲著</v>
      </c>
      <c r="D383" t="str">
        <f>("慈濟中文期刊部, ")</f>
        <v xml:space="preserve">慈濟中文期刊部, </v>
      </c>
      <c r="E383" t="str">
        <f>("427.3 8454 2005")</f>
        <v>427.3 8454 2005</v>
      </c>
      <c r="F383" t="str">
        <f>("2005")</f>
        <v>2005</v>
      </c>
      <c r="G383" t="str">
        <f>("大林慈院藏書區")</f>
        <v>大林慈院藏書區</v>
      </c>
    </row>
    <row r="384" spans="1:7">
      <c r="A384" t="str">
        <f>("D0015916")</f>
        <v>D0015916</v>
      </c>
      <c r="B384" t="str">
        <f>("24節氣輕蔬食 : 72道順應四季時節、調養體質的美味素食 / ")</f>
        <v xml:space="preserve">24節氣輕蔬食 : 72道順應四季時節、調養體質的美味素食 / </v>
      </c>
      <c r="C384" t="str">
        <f>("花蓮慈濟醫學中心營養科作")</f>
        <v>花蓮慈濟醫學中心營養科作</v>
      </c>
      <c r="D384" t="str">
        <f>("原水文化出版 : ;家庭傳媒城邦分公司發行, ")</f>
        <v xml:space="preserve">原水文化出版 : ;家庭傳媒城邦分公司發行, </v>
      </c>
      <c r="E384" t="str">
        <f>("427.3 8682 2017")</f>
        <v>427.3 8682 2017</v>
      </c>
      <c r="F384" t="str">
        <f>("2017")</f>
        <v>2017</v>
      </c>
      <c r="G384" t="str">
        <f>("大林慈院藏書區")</f>
        <v>大林慈院藏書區</v>
      </c>
    </row>
    <row r="385" spans="1:8">
      <c r="A385" t="str">
        <f>("D0016784")</f>
        <v>D0016784</v>
      </c>
      <c r="B385" t="str">
        <f>("補充特定營養素的全植物蔬食料理：60道豐盛蔬食，為你打造營養均衡的美味餐桌 /")</f>
        <v>補充特定營養素的全植物蔬食料理：60道豐盛蔬食，為你打造營養均衡的美味餐桌 /</v>
      </c>
      <c r="C385" t="str">
        <f>("高韻均 著")</f>
        <v>高韻均 著</v>
      </c>
      <c r="D385" t="str">
        <f>("漫遊者文化, ")</f>
        <v xml:space="preserve">漫遊者文化, </v>
      </c>
      <c r="E385" t="str">
        <f>("427.31 8324 2020")</f>
        <v>427.31 8324 2020</v>
      </c>
      <c r="F385" t="str">
        <f>("2020")</f>
        <v>2020</v>
      </c>
      <c r="G385" t="str">
        <f>("大林慈院藏書區")</f>
        <v>大林慈院藏書區</v>
      </c>
      <c r="H385" t="str">
        <f>("學習資源組")</f>
        <v>學習資源組</v>
      </c>
    </row>
    <row r="386" spans="1:8">
      <c r="A386" t="str">
        <f>("D0005710")</f>
        <v>D0005710</v>
      </c>
      <c r="B386" t="str">
        <f>("四季養生素食 :心智禪師慈悲的烹調世界 /")</f>
        <v>四季養生素食 :心智禪師慈悲的烹調世界 /</v>
      </c>
      <c r="C386" t="str">
        <f>("養正堂編輯小組策劃製作 ")</f>
        <v xml:space="preserve">養正堂編輯小組策劃製作 </v>
      </c>
      <c r="D386" t="str">
        <f>("養正堂,")</f>
        <v>養正堂,</v>
      </c>
      <c r="E386" t="str">
        <f>("427.31 8432 1994")</f>
        <v>427.31 8432 1994</v>
      </c>
      <c r="F386" t="str">
        <f>("1994")</f>
        <v>1994</v>
      </c>
      <c r="G386" t="str">
        <f>("大林慈院藏書區")</f>
        <v>大林慈院藏書區</v>
      </c>
    </row>
    <row r="387" spans="1:8">
      <c r="A387" t="str">
        <f>("D0003020")</f>
        <v>D0003020</v>
      </c>
      <c r="B387" t="str">
        <f>("素食媽媽歡喜坐月子 /")</f>
        <v>素食媽媽歡喜坐月子 /</v>
      </c>
      <c r="C387" t="str">
        <f>("王培仁(家政)著 ")</f>
        <v xml:space="preserve">王培仁(家政)著 </v>
      </c>
      <c r="D387" t="str">
        <f>("積木文化出版,")</f>
        <v>積木文化出版,</v>
      </c>
      <c r="E387" t="str">
        <f>("427.31 8446 2004")</f>
        <v>427.31 8446 2004</v>
      </c>
      <c r="F387" t="str">
        <f>("2004")</f>
        <v>2004</v>
      </c>
      <c r="G387" t="str">
        <f>("大林慈院藏書區")</f>
        <v>大林慈院藏書區</v>
      </c>
    </row>
    <row r="388" spans="1:8">
      <c r="A388" t="str">
        <f>("D0016055")</f>
        <v>D0016055</v>
      </c>
      <c r="B388" t="str">
        <f>("素食坐月子 :80道滋補養身調理月子餐 /")</f>
        <v>素食坐月子 :80道滋補養身調理月子餐 /</v>
      </c>
      <c r="C388" t="str">
        <f>("王培仁(家政) ")</f>
        <v xml:space="preserve">王培仁(家政) </v>
      </c>
      <c r="D388" t="str">
        <f>("家庭傳媒城邦分公司發行,;積木文化出版 :")</f>
        <v>家庭傳媒城邦分公司發行,;積木文化出版 :</v>
      </c>
      <c r="E388" t="str">
        <f>("427.31 8446-2 2017")</f>
        <v>427.31 8446-2 2017</v>
      </c>
      <c r="F388" t="str">
        <f>("2017")</f>
        <v>2017</v>
      </c>
      <c r="G388" t="str">
        <f>("大林慈院單位藏書")</f>
        <v>大林慈院單位藏書</v>
      </c>
      <c r="H388" t="str">
        <f>("營養治療科")</f>
        <v>營養治療科</v>
      </c>
    </row>
    <row r="389" spans="1:8">
      <c r="A389" t="str">
        <f>("D0014582")</f>
        <v>D0014582</v>
      </c>
      <c r="B389" t="str">
        <f>("最受歡迎素食家常菜 /")</f>
        <v>最受歡迎素食家常菜 /</v>
      </c>
      <c r="C389" t="str">
        <f>("楊桃文化食譜 ")</f>
        <v xml:space="preserve">楊桃文化食譜 </v>
      </c>
      <c r="D389" t="str">
        <f>("楊桃文化,")</f>
        <v>楊桃文化,</v>
      </c>
      <c r="E389" t="str">
        <f>("427.31 8636 2015")</f>
        <v>427.31 8636 2015</v>
      </c>
      <c r="F389" t="str">
        <f>("2015")</f>
        <v>2015</v>
      </c>
      <c r="G389" t="str">
        <f>("大林慈院藏書區")</f>
        <v>大林慈院藏書區</v>
      </c>
      <c r="H389" t="str">
        <f>("營養治療科")</f>
        <v>營養治療科</v>
      </c>
    </row>
    <row r="390" spans="1:8">
      <c r="A390" t="str">
        <f>("D0003925")</f>
        <v>D0003925</v>
      </c>
      <c r="B390" t="str">
        <f>("靜思四季食譜 /")</f>
        <v>靜思四季食譜 /</v>
      </c>
      <c r="C390" t="str">
        <f>("劉富子 ")</f>
        <v xml:space="preserve">劉富子 </v>
      </c>
      <c r="D390" t="str">
        <f>("靜思文化,")</f>
        <v>靜思文化,</v>
      </c>
      <c r="E390" t="str">
        <f>("427.31 8734 1999")</f>
        <v>427.31 8734 1999</v>
      </c>
      <c r="F390" t="str">
        <f>("1999")</f>
        <v>1999</v>
      </c>
      <c r="G390" t="str">
        <f>("大林慈院慈濟專區")</f>
        <v>大林慈院慈濟專區</v>
      </c>
    </row>
    <row r="391" spans="1:8">
      <c r="A391" t="str">
        <f>("D0014440")</f>
        <v>D0014440</v>
      </c>
      <c r="B391" t="str">
        <f>("400道素食家常菜聖經 / ")</f>
        <v xml:space="preserve">400道素食家常菜聖經 / </v>
      </c>
      <c r="C391" t="str">
        <f>("劉仁華作 ")</f>
        <v xml:space="preserve">劉仁華作 </v>
      </c>
      <c r="D391" t="str">
        <f>("楊桃文化, ")</f>
        <v xml:space="preserve">楊桃文化, </v>
      </c>
      <c r="E391" t="str">
        <f>("427.31 8766 2012")</f>
        <v>427.31 8766 2012</v>
      </c>
      <c r="F391" t="str">
        <f>("2012")</f>
        <v>2012</v>
      </c>
      <c r="G391" t="str">
        <f>("大林慈院藏書區")</f>
        <v>大林慈院藏書區</v>
      </c>
      <c r="H391" t="str">
        <f>("營養治療科 ")</f>
        <v xml:space="preserve">營養治療科 </v>
      </c>
    </row>
    <row r="392" spans="1:8">
      <c r="A392" t="str">
        <f>("D0006656")</f>
        <v>D0006656</v>
      </c>
      <c r="B392" t="str">
        <f>("護生素食/")</f>
        <v>護生素食/</v>
      </c>
      <c r="C392" t="str">
        <f>("饒秋霞")</f>
        <v>饒秋霞</v>
      </c>
      <c r="D392" t="str">
        <f>("佛陀教育基金會,")</f>
        <v>佛陀教育基金會,</v>
      </c>
      <c r="E392" t="str">
        <f>("427.31 8797 1996 V.2")</f>
        <v>427.31 8797 1996 V.2</v>
      </c>
      <c r="F392" t="str">
        <f>("1996")</f>
        <v>1996</v>
      </c>
      <c r="G392" t="str">
        <f>("大林慈院藏書區")</f>
        <v>大林慈院藏書區</v>
      </c>
    </row>
    <row r="393" spans="1:8">
      <c r="A393" t="str">
        <f>("D0006654")</f>
        <v>D0006654</v>
      </c>
      <c r="B393" t="str">
        <f>("護生素食/")</f>
        <v>護生素食/</v>
      </c>
      <c r="C393" t="str">
        <f>("饒秋霞")</f>
        <v>饒秋霞</v>
      </c>
      <c r="D393" t="str">
        <f>("佛陀教育基金會,")</f>
        <v>佛陀教育基金會,</v>
      </c>
      <c r="E393" t="str">
        <f>("427.31 8797 1997 V.1")</f>
        <v>427.31 8797 1997 V.1</v>
      </c>
      <c r="F393" t="str">
        <f>("1997")</f>
        <v>1997</v>
      </c>
      <c r="G393" t="str">
        <f>("大林慈院藏書區")</f>
        <v>大林慈院藏書區</v>
      </c>
    </row>
    <row r="394" spans="1:8">
      <c r="A394" t="str">
        <f>("D0006657")</f>
        <v>D0006657</v>
      </c>
      <c r="B394" t="str">
        <f>("護生素食/")</f>
        <v>護生素食/</v>
      </c>
      <c r="C394" t="str">
        <f>("饒秋霞")</f>
        <v>饒秋霞</v>
      </c>
      <c r="D394" t="str">
        <f>("佛陀教育基金會,")</f>
        <v>佛陀教育基金會,</v>
      </c>
      <c r="E394" t="str">
        <f>("427.31 8797 2002 V.3")</f>
        <v>427.31 8797 2002 V.3</v>
      </c>
      <c r="F394" t="str">
        <f>("2002")</f>
        <v>2002</v>
      </c>
      <c r="G394" t="str">
        <f>("大林慈院藏書區")</f>
        <v>大林慈院藏書區</v>
      </c>
    </row>
    <row r="395" spans="1:8">
      <c r="A395" t="str">
        <f>("D0006655")</f>
        <v>D0006655</v>
      </c>
      <c r="B395" t="str">
        <f>("護生素食/")</f>
        <v>護生素食/</v>
      </c>
      <c r="C395" t="str">
        <f>("饒秋霞")</f>
        <v>饒秋霞</v>
      </c>
      <c r="D395" t="str">
        <f>("佛陀教育基金會,")</f>
        <v>佛陀教育基金會,</v>
      </c>
      <c r="E395" t="str">
        <f>("427.31 8797 2005 V.4")</f>
        <v>427.31 8797 2005 V.4</v>
      </c>
      <c r="F395" t="str">
        <f>("2005")</f>
        <v>2005</v>
      </c>
      <c r="G395" t="str">
        <f>("大林慈院藏書區")</f>
        <v>大林慈院藏書區</v>
      </c>
    </row>
    <row r="396" spans="1:8">
      <c r="A396" t="str">
        <f>("D0014453")</f>
        <v>D0014453</v>
      </c>
      <c r="B396" t="str">
        <f>("讓你更愛豆腐的料理書 :驚豔滿點的101道食譜 /")</f>
        <v>讓你更愛豆腐的料理書 :驚豔滿點的101道食譜 /</v>
      </c>
      <c r="C396" t="str">
        <f>("青木敦子 ")</f>
        <v xml:space="preserve">青木敦子 </v>
      </c>
      <c r="D396" t="str">
        <f>("臺視文化,")</f>
        <v>臺視文化,</v>
      </c>
      <c r="E396" t="str">
        <f>("427.33 8476 2012")</f>
        <v>427.33 8476 2012</v>
      </c>
      <c r="F396" t="str">
        <f>("2012")</f>
        <v>2012</v>
      </c>
      <c r="G396" t="str">
        <f>("大林慈院藏書區")</f>
        <v>大林慈院藏書區</v>
      </c>
    </row>
    <row r="397" spans="1:8">
      <c r="A397" t="str">
        <f>("D0007340")</f>
        <v>D0007340</v>
      </c>
      <c r="B397" t="str">
        <f>("生機果菜汁 =Organic juice /")</f>
        <v>生機果菜汁 =Organic juice /</v>
      </c>
      <c r="C397" t="str">
        <f>("曾素梅(家政) ")</f>
        <v xml:space="preserve">曾素梅(家政) </v>
      </c>
      <c r="D397" t="str">
        <f>("登福,")</f>
        <v>登福,</v>
      </c>
      <c r="E397" t="str">
        <f>("427.4 8333 1999")</f>
        <v>427.4 8333 1999</v>
      </c>
      <c r="F397" t="str">
        <f>("1999")</f>
        <v>1999</v>
      </c>
      <c r="G397" t="str">
        <f>("大林慈院藏書區")</f>
        <v>大林慈院藏書區</v>
      </c>
    </row>
    <row r="398" spans="1:8">
      <c r="A398" t="str">
        <f>("D0006855")</f>
        <v>D0006855</v>
      </c>
      <c r="B398" t="str">
        <f>("美容瘦身鮮果汁 /")</f>
        <v>美容瘦身鮮果汁 /</v>
      </c>
      <c r="C398" t="str">
        <f>("郭玉芳 ")</f>
        <v xml:space="preserve">郭玉芳 </v>
      </c>
      <c r="D398" t="str">
        <f>("躍昇文化出版,")</f>
        <v>躍昇文化出版,</v>
      </c>
      <c r="E398" t="str">
        <f>("427.4 8436 1998")</f>
        <v>427.4 8436 1998</v>
      </c>
      <c r="F398" t="str">
        <f>("1998")</f>
        <v>1998</v>
      </c>
      <c r="G398" t="str">
        <f>("大林慈院藏書區")</f>
        <v>大林慈院藏書區</v>
      </c>
    </row>
    <row r="399" spans="1:8">
      <c r="A399" t="str">
        <f>("D0016105")</f>
        <v>D0016105</v>
      </c>
      <c r="B399" t="str">
        <f>("咖啡的水科學 / ")</f>
        <v xml:space="preserve">咖啡的水科學 / </v>
      </c>
      <c r="C399" t="str">
        <f>("魚希至")</f>
        <v>魚希至</v>
      </c>
      <c r="D399" t="str">
        <f>("方言, ")</f>
        <v xml:space="preserve">方言, </v>
      </c>
      <c r="E399" t="str">
        <f>("427.42 8574 2018")</f>
        <v>427.42 8574 2018</v>
      </c>
      <c r="F399" t="str">
        <f>("2018")</f>
        <v>2018</v>
      </c>
      <c r="G399" t="str">
        <f>("大林慈院藏書區")</f>
        <v>大林慈院藏書區</v>
      </c>
      <c r="H399" t="str">
        <f>("腫瘤中心")</f>
        <v>腫瘤中心</v>
      </c>
    </row>
    <row r="400" spans="1:8">
      <c r="A400" t="str">
        <f>("D0005934")</f>
        <v>D0005934</v>
      </c>
      <c r="B400" t="str">
        <f>("愛上咖啡 =Addicted to coffee /")</f>
        <v>愛上咖啡 =Addicted to coffee /</v>
      </c>
      <c r="C400" t="str">
        <f>("林瑩 ")</f>
        <v xml:space="preserve">林瑩 </v>
      </c>
      <c r="D400" t="str">
        <f>("商智文化,")</f>
        <v>商智文化,</v>
      </c>
      <c r="E400" t="str">
        <f>("427.42 872 2002")</f>
        <v>427.42 872 2002</v>
      </c>
      <c r="F400" t="str">
        <f>("2002")</f>
        <v>2002</v>
      </c>
      <c r="G400" t="str">
        <f>("大林慈院藏書區")</f>
        <v>大林慈院藏書區</v>
      </c>
    </row>
    <row r="401" spans="1:8">
      <c r="A401" t="str">
        <f>("D0016076")</f>
        <v>D0016076</v>
      </c>
      <c r="B401" t="str">
        <f>("用「保鮮袋」輕鬆做冷凍常備菜 /")</f>
        <v>用「保鮮袋」輕鬆做冷凍常備菜 /</v>
      </c>
      <c r="C401" t="str">
        <f>("渡?真紀 ")</f>
        <v xml:space="preserve">渡?真紀 </v>
      </c>
      <c r="D401" t="str">
        <f>("瑞昇文化,")</f>
        <v>瑞昇文化,</v>
      </c>
      <c r="E401" t="str">
        <f>("427.74 8693 2017")</f>
        <v>427.74 8693 2017</v>
      </c>
      <c r="F401" t="str">
        <f>("2017")</f>
        <v>2017</v>
      </c>
      <c r="G401" t="str">
        <f>("大林慈院藏書區")</f>
        <v>大林慈院藏書區</v>
      </c>
      <c r="H401" t="str">
        <f>("腫瘤中心 ")</f>
        <v xml:space="preserve">腫瘤中心 </v>
      </c>
    </row>
    <row r="402" spans="1:8">
      <c r="A402" t="str">
        <f>("D0005726")</f>
        <v>D0005726</v>
      </c>
      <c r="B402" t="str">
        <f>("食物製備原理實習 /")</f>
        <v>食物製備原理實習 /</v>
      </c>
      <c r="C402" t="str">
        <f>("黃韶顏,1952-")</f>
        <v>黃韶顏,1952-</v>
      </c>
      <c r="D402" t="str">
        <f>("華香園,")</f>
        <v>華香園,</v>
      </c>
      <c r="E402" t="str">
        <f>("427.8 8332 1993")</f>
        <v>427.8 8332 1993</v>
      </c>
      <c r="F402" t="str">
        <f>("1993")</f>
        <v>1993</v>
      </c>
      <c r="G402" t="str">
        <f>("大林慈院藏書區")</f>
        <v>大林慈院藏書區</v>
      </c>
    </row>
    <row r="403" spans="1:8">
      <c r="A403" t="str">
        <f>("D0013628")</f>
        <v>D0013628</v>
      </c>
      <c r="B403" t="str">
        <f>("我的第一本育兒百科全集 / ")</f>
        <v xml:space="preserve">我的第一本育兒百科全集 / </v>
      </c>
      <c r="C403" t="str">
        <f>("諸志源作")</f>
        <v>諸志源作</v>
      </c>
      <c r="D403" t="str">
        <f>("朝日文化總經銷, ;俊嘉文化出版 : ")</f>
        <v xml:space="preserve">朝日文化總經銷, ;俊嘉文化出版 : </v>
      </c>
      <c r="E403" t="str">
        <f>("428 8332 2008")</f>
        <v>428 8332 2008</v>
      </c>
      <c r="F403" t="str">
        <f>("2008")</f>
        <v>2008</v>
      </c>
      <c r="G403" t="str">
        <f>("大林慈院藏書區")</f>
        <v>大林慈院藏書區</v>
      </c>
    </row>
    <row r="404" spans="1:8">
      <c r="A404" t="str">
        <f>("D0007106")</f>
        <v>D0007106</v>
      </c>
      <c r="B404" t="str">
        <f>("幼兒保育概論 /")</f>
        <v>幼兒保育概論 /</v>
      </c>
      <c r="C404" t="str">
        <f>("黃志成 ")</f>
        <v xml:space="preserve">黃志成 </v>
      </c>
      <c r="D404" t="str">
        <f>("揚智,")</f>
        <v>揚智,</v>
      </c>
      <c r="E404" t="str">
        <f>("428 8333 1995")</f>
        <v>428 8333 1995</v>
      </c>
      <c r="F404" t="str">
        <f>("1995")</f>
        <v>1995</v>
      </c>
      <c r="G404" t="str">
        <f>("大林慈院藏書區")</f>
        <v>大林慈院藏書區</v>
      </c>
    </row>
    <row r="405" spans="1:8">
      <c r="A405" t="str">
        <f>("D0009119")</f>
        <v>D0009119</v>
      </c>
      <c r="B405" t="str">
        <f>("0 歲百科 /")</f>
        <v>0 歲百科 /</v>
      </c>
      <c r="C405" t="str">
        <f>("高橋悅二著 ")</f>
        <v xml:space="preserve">高橋悅二著 </v>
      </c>
      <c r="D405" t="str">
        <f>("小暢書房,")</f>
        <v>小暢書房,</v>
      </c>
      <c r="E405" t="str">
        <f>("428 8344 1992")</f>
        <v>428 8344 1992</v>
      </c>
      <c r="F405" t="str">
        <f>("1992")</f>
        <v>1992</v>
      </c>
      <c r="G405" t="str">
        <f>("大林慈院藏書區")</f>
        <v>大林慈院藏書區</v>
      </c>
    </row>
    <row r="406" spans="1:8">
      <c r="A406" t="str">
        <f>("D0005115")</f>
        <v>D0005115</v>
      </c>
      <c r="B406" t="str">
        <f>("這樣養育孩子最健康 /")</f>
        <v>這樣養育孩子最健康 /</v>
      </c>
      <c r="C406" t="str">
        <f>("姜淑惠 ")</f>
        <v xml:space="preserve">姜淑惠 </v>
      </c>
      <c r="D406" t="str">
        <f>("圓神,")</f>
        <v>圓神,</v>
      </c>
      <c r="E406" t="str">
        <f>("428 8363 2001")</f>
        <v>428 8363 2001</v>
      </c>
      <c r="F406" t="str">
        <f>("2001")</f>
        <v>2001</v>
      </c>
      <c r="G406" t="str">
        <f>("大林慈院藏書區")</f>
        <v>大林慈院藏書區</v>
      </c>
    </row>
    <row r="407" spans="1:8">
      <c r="A407" t="str">
        <f>("D0016406")</f>
        <v>D0016406</v>
      </c>
      <c r="B407" t="str">
        <f>("安心做父母,在愛裡無懼 :黃瑽寧陪你正向育兒,用科學實證打造幸福感家庭 /")</f>
        <v>安心做父母,在愛裡無懼 :黃瑽寧陪你正向育兒,用科學實證打造幸福感家庭 /</v>
      </c>
      <c r="C407" t="str">
        <f>("黃瑽寧 ")</f>
        <v xml:space="preserve">黃瑽寧 </v>
      </c>
      <c r="D407" t="str">
        <f>("大和圖書總經銷,;親子天下出版 :")</f>
        <v>大和圖書總經銷,;親子天下出版 :</v>
      </c>
      <c r="E407" t="str">
        <f>("428 8374 2019")</f>
        <v>428 8374 2019</v>
      </c>
      <c r="F407" t="str">
        <f>("2019")</f>
        <v>2019</v>
      </c>
      <c r="G407" t="str">
        <f>("大林慈院藏書區")</f>
        <v>大林慈院藏書區</v>
      </c>
      <c r="H407" t="str">
        <f>("學習資源組 ")</f>
        <v xml:space="preserve">學習資源組 </v>
      </c>
    </row>
    <row r="408" spans="1:8">
      <c r="A408" t="str">
        <f>("D0006480")</f>
        <v>D0006480</v>
      </c>
      <c r="B408" t="str">
        <f>("小兒常見感染疾病居家照顧 :寶寶被感染了怎麼辦? /")</f>
        <v>小兒常見感染疾病居家照顧 :寶寶被感染了怎麼辦? /</v>
      </c>
      <c r="C408" t="str">
        <f>("王志堅 ")</f>
        <v xml:space="preserve">王志堅 </v>
      </c>
      <c r="D408" t="str">
        <f>("婦幼家庭發行,")</f>
        <v>婦幼家庭發行,</v>
      </c>
      <c r="E408" t="str">
        <f>("428 8434 1999")</f>
        <v>428 8434 1999</v>
      </c>
      <c r="F408" t="str">
        <f>("1999")</f>
        <v>1999</v>
      </c>
      <c r="G408" t="str">
        <f>("大林慈院藏書區")</f>
        <v>大林慈院藏書區</v>
      </c>
    </row>
    <row r="409" spans="1:8">
      <c r="A409" t="str">
        <f>("D0001848")</f>
        <v>D0001848</v>
      </c>
      <c r="B409" t="str">
        <f>("幼兒保育概論 =Early childhood care and education /")</f>
        <v>幼兒保育概論 =Early childhood care and education /</v>
      </c>
      <c r="C409" t="str">
        <f>("蔡淑桂(特殊教育) ")</f>
        <v xml:space="preserve">蔡淑桂(特殊教育) </v>
      </c>
      <c r="D409" t="str">
        <f>("華格那企業,")</f>
        <v>華格那企業,</v>
      </c>
      <c r="E409" t="str">
        <f>("428 8464 2008")</f>
        <v>428 8464 2008</v>
      </c>
      <c r="F409" t="str">
        <f>("2008")</f>
        <v>2008</v>
      </c>
      <c r="G409" t="str">
        <f>("大林慈院藏書區")</f>
        <v>大林慈院藏書區</v>
      </c>
      <c r="H409" t="str">
        <f>("護理部")</f>
        <v>護理部</v>
      </c>
    </row>
    <row r="410" spans="1:8">
      <c r="A410" t="str">
        <f>("D0013271")</f>
        <v>D0013271</v>
      </c>
      <c r="B410" t="str">
        <f>("養出有抵抗力的孩子:越早知道越安心的育兒健康常識 /")</f>
        <v>養出有抵抗力的孩子:越早知道越安心的育兒健康常識 /</v>
      </c>
      <c r="C410" t="str">
        <f>("吉崎達郎 ;明橋大二 ;太田知子;王昱婷")</f>
        <v>吉崎達郎 ;明橋大二 ;太田知子;王昱婷</v>
      </c>
      <c r="D410" t="str">
        <f>("叩應經銷,;如何出版 :")</f>
        <v>叩應經銷,;如何出版 :</v>
      </c>
      <c r="E410" t="str">
        <f>("428 8467 2010")</f>
        <v>428 8467 2010</v>
      </c>
      <c r="F410" t="str">
        <f>("2010")</f>
        <v>2010</v>
      </c>
      <c r="G410" t="str">
        <f>("大林慈院藏書區")</f>
        <v>大林慈院藏書區</v>
      </c>
      <c r="H410" t="str">
        <f>("學習資源組 ")</f>
        <v xml:space="preserve">學習資源組 </v>
      </c>
    </row>
    <row r="411" spans="1:8">
      <c r="A411" t="str">
        <f>("D0009518")</f>
        <v>D0009518</v>
      </c>
      <c r="B411" t="str">
        <f>("嬰幼兒保育實務 /")</f>
        <v>嬰幼兒保育實務 /</v>
      </c>
      <c r="C411" t="str">
        <f>("蔡延治 ")</f>
        <v xml:space="preserve">蔡延治 </v>
      </c>
      <c r="D411" t="str">
        <f>("永大,")</f>
        <v>永大,</v>
      </c>
      <c r="E411" t="str">
        <f>("428 8493 2000")</f>
        <v>428 8493 2000</v>
      </c>
      <c r="F411" t="str">
        <f>("2000")</f>
        <v>2000</v>
      </c>
      <c r="G411" t="str">
        <f>("大林慈院藏書區")</f>
        <v>大林慈院藏書區</v>
      </c>
    </row>
    <row r="412" spans="1:8">
      <c r="A412" t="str">
        <f>("D0016884")</f>
        <v>D0016884</v>
      </c>
      <c r="B412" t="str">
        <f>("孩子的健腦操 :消除暴躁、賴床、膽小、注意力不集中、姿勢不正確 /")</f>
        <v>孩子的健腦操 :消除暴躁、賴床、膽小、注意力不集中、姿勢不正確 /</v>
      </c>
      <c r="C412" t="str">
        <f>("古久澤靖夫,1966-")</f>
        <v>古久澤靖夫,1966-</v>
      </c>
      <c r="D412" t="str">
        <f>("幸福綠光,")</f>
        <v>幸福綠光,</v>
      </c>
      <c r="E412" t="str">
        <f>("428 8494 2021")</f>
        <v>428 8494 2021</v>
      </c>
      <c r="F412" t="str">
        <f>("2021")</f>
        <v>2021</v>
      </c>
      <c r="G412" t="str">
        <f>("大林慈院藏書區")</f>
        <v>大林慈院藏書區</v>
      </c>
      <c r="H412" t="str">
        <f>("學習資源組")</f>
        <v>學習資源組</v>
      </c>
    </row>
    <row r="413" spans="1:8">
      <c r="A413" t="str">
        <f>("D0009768")</f>
        <v>D0009768</v>
      </c>
      <c r="B413" t="str">
        <f>("兒童保健 =Children's health care /")</f>
        <v>兒童保健 =Children's health care /</v>
      </c>
      <c r="C413" t="str">
        <f>("于祖英 ")</f>
        <v xml:space="preserve">于祖英 </v>
      </c>
      <c r="D413" t="str">
        <f>("華杏,")</f>
        <v>華杏,</v>
      </c>
      <c r="E413" t="str">
        <f>("428 8538 2005")</f>
        <v>428 8538 2005</v>
      </c>
      <c r="F413" t="str">
        <f>("2005")</f>
        <v>2005</v>
      </c>
      <c r="G413" t="str">
        <f>("大林慈院藏書區")</f>
        <v>大林慈院藏書區</v>
      </c>
    </row>
    <row r="414" spans="1:8">
      <c r="A414" t="str">
        <f>("D0016229")</f>
        <v>D0016229</v>
      </c>
      <c r="B414" t="str">
        <f>("照著養，爸媽不緊張，寶寶超健康 :台大資深兒科醫師完全解答父母 0~1歲育兒疑難 /")</f>
        <v>照著養，爸媽不緊張，寶寶超健康 :台大資深兒科醫師完全解答父母 0~1歲育兒疑難 /</v>
      </c>
      <c r="C414" t="str">
        <f>("湯國廷 ")</f>
        <v xml:space="preserve">湯國廷 </v>
      </c>
      <c r="D414" t="str">
        <f>("家庭傳媒城邦分公司發行,;新手父母出版 :")</f>
        <v>家庭傳媒城邦分公司發行,;新手父母出版 :</v>
      </c>
      <c r="E414" t="str">
        <f>("428 8559 2018")</f>
        <v>428 8559 2018</v>
      </c>
      <c r="F414" t="str">
        <f>("2018")</f>
        <v>2018</v>
      </c>
      <c r="G414" t="str">
        <f>("大林慈院單位藏書")</f>
        <v>大林慈院單位藏書</v>
      </c>
      <c r="H414" t="str">
        <f>("產後護理之家")</f>
        <v>產後護理之家</v>
      </c>
    </row>
    <row r="415" spans="1:8">
      <c r="A415" t="str">
        <f>("D0005461")</f>
        <v>D0005461</v>
      </c>
      <c r="B415" t="str">
        <f>("小 baby 的第一年 /")</f>
        <v>小 baby 的第一年 /</v>
      </c>
      <c r="C415" t="str">
        <f>("凱莉(Kelly, Paula)著 ")</f>
        <v xml:space="preserve">凱莉(Kelly, Paula)著 </v>
      </c>
      <c r="D415" t="str">
        <f>("中天,")</f>
        <v>中天,</v>
      </c>
      <c r="E415" t="str">
        <f>("428 856 1999")</f>
        <v>428 856 1999</v>
      </c>
      <c r="F415" t="str">
        <f>("1999")</f>
        <v>1999</v>
      </c>
      <c r="G415" t="str">
        <f>("大林慈院藏書區")</f>
        <v>大林慈院藏書區</v>
      </c>
    </row>
    <row r="416" spans="1:8">
      <c r="A416" t="str">
        <f>("D0009269")</f>
        <v>D0009269</v>
      </c>
      <c r="B416" t="str">
        <f>("培育資優兒童的嬰兒 IS 潛能開發法 /")</f>
        <v>培育資優兒童的嬰兒 IS 潛能開發法 /</v>
      </c>
      <c r="C416" t="str">
        <f>("張篤群 ;葛蘭特(Golant, Susan K.) ;魯汀頓(Ladington-Hoe, Susan) ")</f>
        <v xml:space="preserve">張篤群 ;葛蘭特(Golant, Susan K.) ;魯汀頓(Ladington-Hoe, Susan) </v>
      </c>
      <c r="D416" t="str">
        <f>("世茂,")</f>
        <v>世茂,</v>
      </c>
      <c r="E416" t="str">
        <f>("428 8653 1994")</f>
        <v>428 8653 1994</v>
      </c>
      <c r="F416" t="str">
        <f>("1994")</f>
        <v>1994</v>
      </c>
      <c r="G416" t="str">
        <f>("大林慈院藏書區")</f>
        <v>大林慈院藏書區</v>
      </c>
    </row>
    <row r="417" spans="1:8">
      <c r="A417" t="str">
        <f>("D0004398")</f>
        <v>D0004398</v>
      </c>
      <c r="B417" t="str">
        <f>("培育資優兒童的嬰兒 IS 潛能開發法 /")</f>
        <v>培育資優兒童的嬰兒 IS 潛能開發法 /</v>
      </c>
      <c r="C417" t="str">
        <f>("張篤群 ;葛蘭特(Golant, Susan K.) ;魯汀頓(Ladington-Hoe, Susan) ")</f>
        <v xml:space="preserve">張篤群 ;葛蘭特(Golant, Susan K.) ;魯汀頓(Ladington-Hoe, Susan) </v>
      </c>
      <c r="D417" t="str">
        <f>("世茂,")</f>
        <v>世茂,</v>
      </c>
      <c r="E417" t="str">
        <f>("428 8653 1994 c.2")</f>
        <v>428 8653 1994 c.2</v>
      </c>
      <c r="F417" t="str">
        <f>("1994")</f>
        <v>1994</v>
      </c>
      <c r="G417" t="str">
        <f>("大林慈院藏書區")</f>
        <v>大林慈院藏書區</v>
      </c>
    </row>
    <row r="418" spans="1:8">
      <c r="A418" t="str">
        <f>("D0007037")</f>
        <v>D0007037</v>
      </c>
      <c r="B418" t="str">
        <f>("專業的嬰幼兒照顧者 /")</f>
        <v>專業的嬰幼兒照顧者 /</v>
      </c>
      <c r="C418" t="str">
        <f>("楊婷舒 ")</f>
        <v xml:space="preserve">楊婷舒 </v>
      </c>
      <c r="D418" t="str">
        <f>("心理,")</f>
        <v>心理,</v>
      </c>
      <c r="E418" t="str">
        <f>("428 8677 1996")</f>
        <v>428 8677 1996</v>
      </c>
      <c r="F418" t="str">
        <f>("1996")</f>
        <v>1996</v>
      </c>
      <c r="G418" t="str">
        <f>("大林慈院藏書區")</f>
        <v>大林慈院藏書區</v>
      </c>
    </row>
    <row r="419" spans="1:8">
      <c r="A419" t="str">
        <f>("D0016222")</f>
        <v>D0016222</v>
      </c>
      <c r="B419" t="str">
        <f>("新手媽咪育兒寶典 :專業婦科權威醫師獻給孕媽咪的育兒百科 /")</f>
        <v>新手媽咪育兒寶典 :專業婦科權威醫師獻給孕媽咪的育兒百科 /</v>
      </c>
      <c r="C419" t="str">
        <f>("劉子霞")</f>
        <v>劉子霞</v>
      </c>
      <c r="D419" t="str">
        <f>("源樺,")</f>
        <v>源樺,</v>
      </c>
      <c r="E419" t="str">
        <f>("428 8747 2018")</f>
        <v>428 8747 2018</v>
      </c>
      <c r="F419" t="str">
        <f>("2018")</f>
        <v>2018</v>
      </c>
      <c r="G419" t="str">
        <f>("大林慈院單位藏書")</f>
        <v>大林慈院單位藏書</v>
      </c>
      <c r="H419" t="str">
        <f>("產後護理之家 ")</f>
        <v xml:space="preserve">產後護理之家 </v>
      </c>
    </row>
    <row r="420" spans="1:8">
      <c r="A420" t="str">
        <f>("D0007311")</f>
        <v>D0007311</v>
      </c>
      <c r="B420" t="str">
        <f>("我來了 :人類智慧學理念下的嬰幼兒保育 /")</f>
        <v>我來了 :人類智慧學理念下的嬰幼兒保育 /</v>
      </c>
      <c r="C420" t="str">
        <f>("梭特(Salter, Joan) ")</f>
        <v xml:space="preserve">梭特(Salter, Joan) </v>
      </c>
      <c r="D420" t="str">
        <f>("光佑文化事業公司,")</f>
        <v>光佑文化事業公司,</v>
      </c>
      <c r="E420" t="str">
        <f>("428 875 2000")</f>
        <v>428 875 2000</v>
      </c>
      <c r="F420" t="str">
        <f>("2000")</f>
        <v>2000</v>
      </c>
      <c r="G420" t="str">
        <f>("大林慈院藏書區")</f>
        <v>大林慈院藏書區</v>
      </c>
    </row>
    <row r="421" spans="1:8">
      <c r="A421" t="str">
        <f>("D0006997")</f>
        <v>D0006997</v>
      </c>
      <c r="B421" t="str">
        <f>("爆笑媽咪日記 /")</f>
        <v>爆笑媽咪日記 /</v>
      </c>
      <c r="C421" t="str">
        <f>("松井夏紀原著 ")</f>
        <v xml:space="preserve">松井夏紀原著 </v>
      </c>
      <c r="D421" t="str">
        <f>("臺灣先智出版,")</f>
        <v>臺灣先智出版,</v>
      </c>
      <c r="E421" t="str">
        <f>("428 8757 1999")</f>
        <v>428 8757 1999</v>
      </c>
      <c r="F421" t="str">
        <f>("1999")</f>
        <v>1999</v>
      </c>
      <c r="G421" t="str">
        <f>("大林慈院藏書區")</f>
        <v>大林慈院藏書區</v>
      </c>
    </row>
    <row r="422" spans="1:8">
      <c r="A422" t="str">
        <f>("D0015911")</f>
        <v>D0015911</v>
      </c>
      <c r="B422" t="str">
        <f>("掌握0-6歲27個關鍵第一次 :輕鬆理解寶寶的身體、情緒與認知發展 /")</f>
        <v>掌握0-6歲27個關鍵第一次 :輕鬆理解寶寶的身體、情緒與認知發展 /</v>
      </c>
      <c r="C422" t="str">
        <f>("陳珮雯(家政) ")</f>
        <v xml:space="preserve">陳珮雯(家政) </v>
      </c>
      <c r="D422" t="str">
        <f>("大和圖書總經銷,;天下雜誌出版 ;")</f>
        <v>大和圖書總經銷,;天下雜誌出版 ;</v>
      </c>
      <c r="E422" t="str">
        <f>("428 8757:2 2017")</f>
        <v>428 8757:2 2017</v>
      </c>
      <c r="F422" t="str">
        <f>("2017")</f>
        <v>2017</v>
      </c>
      <c r="G422" t="str">
        <f>("大林慈院藏書區")</f>
        <v>大林慈院藏書區</v>
      </c>
      <c r="H422" t="str">
        <f>("學習資源組")</f>
        <v>學習資源組</v>
      </c>
    </row>
    <row r="423" spans="1:8">
      <c r="A423" t="str">
        <f>("D0009169")</f>
        <v>D0009169</v>
      </c>
      <c r="B423" t="str">
        <f>("爸爸媽媽的育兒讀本(1-2歲) /")</f>
        <v>爸爸媽媽的育兒讀本(1-2歲) /</v>
      </c>
      <c r="C423" t="str">
        <f>("劉占蘭 ;艾蘇勇 ")</f>
        <v xml:space="preserve">劉占蘭 ;艾蘇勇 </v>
      </c>
      <c r="D423" t="str">
        <f>("大樹林出版,")</f>
        <v>大樹林出版,</v>
      </c>
      <c r="E423" t="str">
        <f>("428 8758 1996")</f>
        <v>428 8758 1996</v>
      </c>
      <c r="F423" t="str">
        <f>("1996")</f>
        <v>1996</v>
      </c>
      <c r="G423" t="str">
        <f>("大林慈院藏書區")</f>
        <v>大林慈院藏書區</v>
      </c>
    </row>
    <row r="424" spans="1:8">
      <c r="A424" t="str">
        <f>("D0006507")</f>
        <v>D0006507</v>
      </c>
      <c r="B424" t="str">
        <f>("優生寶寶")</f>
        <v>優生寶寶</v>
      </c>
      <c r="C424" t="str">
        <f>("")</f>
        <v/>
      </c>
      <c r="D424" t="str">
        <f>("婦女家庭")</f>
        <v>婦女家庭</v>
      </c>
      <c r="E424" t="str">
        <f>("428 8766 1989")</f>
        <v>428 8766 1989</v>
      </c>
      <c r="F424" t="str">
        <f>("1989")</f>
        <v>1989</v>
      </c>
      <c r="G424" t="str">
        <f>("大林慈院藏書區")</f>
        <v>大林慈院藏書區</v>
      </c>
    </row>
    <row r="425" spans="1:8">
      <c r="A425" t="str">
        <f>("D0015989")</f>
        <v>D0015989</v>
      </c>
      <c r="B425" t="str">
        <f>("好神醫師在我家 :0-12歲育兒妙招 : 最新的身體X心靈全知識都在這一本!Google大神也無解的育兒大小事 /")</f>
        <v>好神醫師在我家 :0-12歲育兒妙招 : 最新的身體X心靈全知識都在這一本!Google大神也無解的育兒大小事 /</v>
      </c>
      <c r="C425" t="str">
        <f>("東森超視 ")</f>
        <v xml:space="preserve">東森超視 </v>
      </c>
      <c r="D425" t="str">
        <f>("三采文化,")</f>
        <v>三采文化,</v>
      </c>
      <c r="E425" t="str">
        <f>("428 8774 2017")</f>
        <v>428 8774 2017</v>
      </c>
      <c r="F425" t="str">
        <f>("2017")</f>
        <v>2017</v>
      </c>
      <c r="G425" t="str">
        <f>("大林慈院藏書區")</f>
        <v>大林慈院藏書區</v>
      </c>
      <c r="H425" t="str">
        <f>("學習資源組")</f>
        <v>學習資源組</v>
      </c>
    </row>
    <row r="426" spans="1:8">
      <c r="A426" t="str">
        <f>("D0011256")</f>
        <v>D0011256</v>
      </c>
      <c r="B426" t="str">
        <f>("嬰幼兒保育概論 /")</f>
        <v>嬰幼兒保育概論 /</v>
      </c>
      <c r="C426" t="str">
        <f>("林芳菁 ")</f>
        <v xml:space="preserve">林芳菁 </v>
      </c>
      <c r="D426" t="str">
        <f>("永大,")</f>
        <v>永大,</v>
      </c>
      <c r="E426" t="str">
        <f>("428 8775 2003")</f>
        <v>428 8775 2003</v>
      </c>
      <c r="F426" t="str">
        <f>("2003")</f>
        <v>2003</v>
      </c>
      <c r="G426" t="str">
        <f>("大林慈院藏書區")</f>
        <v>大林慈院藏書區</v>
      </c>
      <c r="H426" t="str">
        <f>("護理部")</f>
        <v>護理部</v>
      </c>
    </row>
    <row r="427" spans="1:8">
      <c r="A427" t="str">
        <f>("D0016232")</f>
        <v>D0016232</v>
      </c>
      <c r="B427" t="str">
        <f>("百歲醫師教我的育兒寶典(10年慶功版) /")</f>
        <v>百歲醫師教我的育兒寶典(10年慶功版) /</v>
      </c>
      <c r="C427" t="str">
        <f>("林奐均,文字作者 ")</f>
        <v xml:space="preserve">林奐均,文字作者 </v>
      </c>
      <c r="D427" t="str">
        <f>("如何出版社有限公司,")</f>
        <v>如何出版社有限公司,</v>
      </c>
      <c r="E427" t="str">
        <f>("428 8794 2018")</f>
        <v>428 8794 2018</v>
      </c>
      <c r="F427" t="str">
        <f>("2018")</f>
        <v>2018</v>
      </c>
      <c r="G427" t="str">
        <f>("大林慈院單位藏書")</f>
        <v>大林慈院單位藏書</v>
      </c>
      <c r="H427" t="str">
        <f>("產後護理之家 ")</f>
        <v xml:space="preserve">產後護理之家 </v>
      </c>
    </row>
    <row r="428" spans="1:8">
      <c r="A428" t="str">
        <f>("D0016230")</f>
        <v>D0016230</v>
      </c>
      <c r="B428" t="str">
        <f>("孕育健康BB！:醫生爸爸100個育兒你問我答/")</f>
        <v>孕育健康BB！:醫生爸爸100個育兒你問我答/</v>
      </c>
      <c r="C428" t="str">
        <f>("陳欣永")</f>
        <v>陳欣永</v>
      </c>
      <c r="D428" t="str">
        <f>("閱亮點,")</f>
        <v>閱亮點,</v>
      </c>
      <c r="E428" t="str">
        <f>("428 8796 2018")</f>
        <v>428 8796 2018</v>
      </c>
      <c r="F428" t="str">
        <f>("2018")</f>
        <v>2018</v>
      </c>
      <c r="G428" t="str">
        <f>("大林慈院單位藏書")</f>
        <v>大林慈院單位藏書</v>
      </c>
      <c r="H428" t="str">
        <f>("產後護理之家")</f>
        <v>產後護理之家</v>
      </c>
    </row>
    <row r="429" spans="1:8">
      <c r="A429" t="str">
        <f>("D0004429")</f>
        <v>D0004429</v>
      </c>
      <c r="B429" t="str">
        <f>("育兒寶典 /")</f>
        <v>育兒寶典 /</v>
      </c>
      <c r="C429" t="str">
        <f>("史波克著 ")</f>
        <v xml:space="preserve">史波克著 </v>
      </c>
      <c r="D429" t="str">
        <f>("遠流,")</f>
        <v>遠流,</v>
      </c>
      <c r="E429" t="str">
        <f>("428 8865 1991")</f>
        <v>428 8865 1991</v>
      </c>
      <c r="F429" t="str">
        <f>("1991")</f>
        <v>1991</v>
      </c>
      <c r="G429" t="str">
        <f>("大林慈院藏書區")</f>
        <v>大林慈院藏書區</v>
      </c>
    </row>
    <row r="430" spans="1:8">
      <c r="A430" t="str">
        <f>("D0009124")</f>
        <v>D0009124</v>
      </c>
      <c r="B430" t="str">
        <f>("如何教育 0 歲幼兒 /")</f>
        <v>如何教育 0 歲幼兒 /</v>
      </c>
      <c r="C430" t="str">
        <f>("劉彩桂 ;久保田  子 ;久保田競 ")</f>
        <v xml:space="preserve">劉彩桂 ;久保田  子 ;久保田競 </v>
      </c>
      <c r="D430" t="str">
        <f>("世茂,")</f>
        <v>世茂,</v>
      </c>
      <c r="E430" t="str">
        <f>("428 8995 1994")</f>
        <v>428 8995 1994</v>
      </c>
      <c r="F430" t="str">
        <f>("1994")</f>
        <v>1994</v>
      </c>
      <c r="G430" t="str">
        <f>("大林慈院藏書區")</f>
        <v>大林慈院藏書區</v>
      </c>
    </row>
    <row r="431" spans="1:8">
      <c r="A431" t="str">
        <f>("D0007599")</f>
        <v>D0007599</v>
      </c>
      <c r="B431" t="str">
        <f>("創造零歲開始的美語環境 /")</f>
        <v>創造零歲開始的美語環境 /</v>
      </c>
      <c r="C431" t="str">
        <f>("史伊(Cihi, Guy)著 ")</f>
        <v xml:space="preserve">史伊(Cihi, Guy)著 </v>
      </c>
      <c r="D431" t="str">
        <f>("婦幼家庭發行,")</f>
        <v>婦幼家庭發行,</v>
      </c>
      <c r="E431" t="str">
        <f>("428.05 888 1995")</f>
        <v>428.05 888 1995</v>
      </c>
      <c r="F431" t="str">
        <f>("1995")</f>
        <v>1995</v>
      </c>
      <c r="G431" t="str">
        <f>("大林慈院藏書區")</f>
        <v>大林慈院藏書區</v>
      </c>
    </row>
    <row r="432" spans="1:8">
      <c r="A432" t="str">
        <f>("D0013626")</f>
        <v>D0013626</v>
      </c>
      <c r="B432" t="str">
        <f>("第一次餵母乳 : 吃母乳的孩子最聰明 餵母乳的媽咪最健康 / ")</f>
        <v xml:space="preserve">第一次餵母乳 : 吃母乳的孩子最聰明 餵母乳的媽咪最健康 / </v>
      </c>
      <c r="C432" t="str">
        <f>("黃資裡(護理學) ")</f>
        <v xml:space="preserve">黃資裡(護理學) </v>
      </c>
      <c r="D432" t="str">
        <f>("展智文化總經銷, ;朱雀文化出版 ; ")</f>
        <v xml:space="preserve">展智文化總經銷, ;朱雀文化出版 ; </v>
      </c>
      <c r="E432" t="str">
        <f>("428.3 8323 2006")</f>
        <v>428.3 8323 2006</v>
      </c>
      <c r="F432" t="str">
        <f>("2006")</f>
        <v>2006</v>
      </c>
      <c r="G432" t="str">
        <f>("大林慈院藏書區")</f>
        <v>大林慈院藏書區</v>
      </c>
    </row>
    <row r="433" spans="1:8">
      <c r="A433" t="str">
        <f>("D0016063")</f>
        <v>D0016063</v>
      </c>
      <c r="B433" t="str">
        <f>("神奇有效的催乳按摩術 :徹底解決哺乳媽媽缺奶、脹奶、塞奶三大困擾 : 徹底解決85%哺乳媽媽困擾 /")</f>
        <v>神奇有效的催乳按摩術 :徹底解決哺乳媽媽缺奶、脹奶、塞奶三大困擾 : 徹底解決85%哺乳媽媽困擾 /</v>
      </c>
      <c r="C433" t="str">
        <f>("鄭玉萍(護理學) ")</f>
        <v xml:space="preserve">鄭玉萍(護理學) </v>
      </c>
      <c r="D433" t="str">
        <f>("大大創意出版 ;;昶景國際文化總經銷,")</f>
        <v>大大創意出版 ;;昶景國際文化總經銷,</v>
      </c>
      <c r="E433" t="str">
        <f>("428.3 8436 2018")</f>
        <v>428.3 8436 2018</v>
      </c>
      <c r="F433" t="str">
        <f>("2018")</f>
        <v>2018</v>
      </c>
      <c r="G433" t="str">
        <f>("大林慈院藏書區")</f>
        <v>大林慈院藏書區</v>
      </c>
      <c r="H433" t="str">
        <f>("學習資源組")</f>
        <v>學習資源組</v>
      </c>
    </row>
    <row r="434" spans="1:8">
      <c r="A434" t="str">
        <f>("D0009771")</f>
        <v>D0009771</v>
      </c>
      <c r="B434" t="str">
        <f>("幼兒餐點設計與營養 =Food preparation and nutrition for young children /")</f>
        <v>幼兒餐點設計與營養 =Food preparation and nutrition for young children /</v>
      </c>
      <c r="C434" t="str">
        <f>("許世忠(醫學) ")</f>
        <v xml:space="preserve">許世忠(醫學) </v>
      </c>
      <c r="D434" t="str">
        <f>("偉華,")</f>
        <v>偉華,</v>
      </c>
      <c r="E434" t="str">
        <f>("428.3 8454 2006")</f>
        <v>428.3 8454 2006</v>
      </c>
      <c r="F434" t="str">
        <f>("2006")</f>
        <v>2006</v>
      </c>
      <c r="G434" t="str">
        <f>("大林慈院藏書區")</f>
        <v>大林慈院藏書區</v>
      </c>
    </row>
    <row r="435" spans="1:8">
      <c r="A435" t="str">
        <f>("D0007198")</f>
        <v>D0007198</v>
      </c>
      <c r="B435" t="str">
        <f>("母乳哺育 :理論與實務 /")</f>
        <v>母乳哺育 :理論與實務 /</v>
      </c>
      <c r="C435" t="str">
        <f>("")</f>
        <v/>
      </c>
      <c r="D435" t="str">
        <f>("臺灣母乳哺育聯合學會,")</f>
        <v>臺灣母乳哺育聯合學會,</v>
      </c>
      <c r="E435" t="str">
        <f>("428.3 8467 2012")</f>
        <v>428.3 8467 2012</v>
      </c>
      <c r="F435" t="str">
        <f>("2012")</f>
        <v>2012</v>
      </c>
      <c r="G435" t="str">
        <f>("大林慈院藏書區")</f>
        <v>大林慈院藏書區</v>
      </c>
    </row>
    <row r="436" spans="1:8">
      <c r="A436" t="str">
        <f>("D0016565")</f>
        <v>D0016565</v>
      </c>
      <c r="B436" t="str">
        <f>("實證泌乳全科學.Ⅰ =Evidence-based lactation profession level /")</f>
        <v>實證泌乳全科學.Ⅰ =Evidence-based lactation profession level /</v>
      </c>
      <c r="C436" t="str">
        <f>("王淑芳(護理學),文字作者")</f>
        <v>王淑芳(護理學),文字作者</v>
      </c>
      <c r="D436" t="str">
        <f>("維兒國際教育股份有限公司,")</f>
        <v>維兒國際教育股份有限公司,</v>
      </c>
      <c r="E436" t="str">
        <f>("428.3 8467 2020")</f>
        <v>428.3 8467 2020</v>
      </c>
      <c r="F436" t="str">
        <f>("2020")</f>
        <v>2020</v>
      </c>
      <c r="G436" t="str">
        <f>("大林慈院單位藏書")</f>
        <v>大林慈院單位藏書</v>
      </c>
      <c r="H436" t="str">
        <f>("護理部")</f>
        <v>護理部</v>
      </c>
    </row>
    <row r="437" spans="1:8">
      <c r="A437" t="str">
        <f>("D0016566")</f>
        <v>D0016566</v>
      </c>
      <c r="B437" t="str">
        <f>("實證泌乳全科學.Ⅰ =Evidence-based lactation profession level /")</f>
        <v>實證泌乳全科學.Ⅰ =Evidence-based lactation profession level /</v>
      </c>
      <c r="C437" t="str">
        <f>("王淑芳(護理學),文字作者")</f>
        <v>王淑芳(護理學),文字作者</v>
      </c>
      <c r="D437" t="str">
        <f>("維兒國際教育股份有限公司,")</f>
        <v>維兒國際教育股份有限公司,</v>
      </c>
      <c r="E437" t="str">
        <f>("428.3 8467 2020 c.2")</f>
        <v>428.3 8467 2020 c.2</v>
      </c>
      <c r="F437" t="str">
        <f>("2020")</f>
        <v>2020</v>
      </c>
      <c r="G437" t="str">
        <f>("大林慈院單位藏書")</f>
        <v>大林慈院單位藏書</v>
      </c>
      <c r="H437" t="str">
        <f>("護理部")</f>
        <v>護理部</v>
      </c>
    </row>
    <row r="438" spans="1:8">
      <c r="A438" t="str">
        <f>("D0016567")</f>
        <v>D0016567</v>
      </c>
      <c r="B438" t="str">
        <f>("實證泌乳全科學.Ⅰ =Evidence-based lactation profession level /")</f>
        <v>實證泌乳全科學.Ⅰ =Evidence-based lactation profession level /</v>
      </c>
      <c r="C438" t="str">
        <f>("王淑芳(護理學),文字作者")</f>
        <v>王淑芳(護理學),文字作者</v>
      </c>
      <c r="D438" t="str">
        <f>("維兒國際教育股份有限公司,")</f>
        <v>維兒國際教育股份有限公司,</v>
      </c>
      <c r="E438" t="str">
        <f>("428.3 8467 2020 c.3")</f>
        <v>428.3 8467 2020 c.3</v>
      </c>
      <c r="F438" t="str">
        <f>("2020")</f>
        <v>2020</v>
      </c>
      <c r="G438" t="str">
        <f>("大林慈院單位藏書")</f>
        <v>大林慈院單位藏書</v>
      </c>
      <c r="H438" t="str">
        <f>("護理部")</f>
        <v>護理部</v>
      </c>
    </row>
    <row r="439" spans="1:8">
      <c r="A439" t="str">
        <f>("D0016568")</f>
        <v>D0016568</v>
      </c>
      <c r="B439" t="str">
        <f>("實證泌乳全科學.Ⅰ =Evidence-based lactation profession level /")</f>
        <v>實證泌乳全科學.Ⅰ =Evidence-based lactation profession level /</v>
      </c>
      <c r="C439" t="str">
        <f>("王淑芳(護理學),文字作者")</f>
        <v>王淑芳(護理學),文字作者</v>
      </c>
      <c r="D439" t="str">
        <f>("維兒國際教育股份有限公司,")</f>
        <v>維兒國際教育股份有限公司,</v>
      </c>
      <c r="E439" t="str">
        <f>("428.3 8467 2020 c.4")</f>
        <v>428.3 8467 2020 c.4</v>
      </c>
      <c r="F439" t="str">
        <f>("2020")</f>
        <v>2020</v>
      </c>
      <c r="G439" t="str">
        <f>("大林慈院單位藏書")</f>
        <v>大林慈院單位藏書</v>
      </c>
      <c r="H439" t="str">
        <f>("護理部")</f>
        <v>護理部</v>
      </c>
    </row>
    <row r="440" spans="1:8">
      <c r="A440" t="str">
        <f>("D0016569")</f>
        <v>D0016569</v>
      </c>
      <c r="B440" t="str">
        <f>("實證泌乳全科學.Ⅰ =Evidence-based lactation profession level /")</f>
        <v>實證泌乳全科學.Ⅰ =Evidence-based lactation profession level /</v>
      </c>
      <c r="C440" t="str">
        <f>("王淑芳(護理學),文字作者")</f>
        <v>王淑芳(護理學),文字作者</v>
      </c>
      <c r="D440" t="str">
        <f>("維兒國際教育股份有限公司,")</f>
        <v>維兒國際教育股份有限公司,</v>
      </c>
      <c r="E440" t="str">
        <f>("428.3 8467 2020 c.5")</f>
        <v>428.3 8467 2020 c.5</v>
      </c>
      <c r="F440" t="str">
        <f>("2020")</f>
        <v>2020</v>
      </c>
      <c r="G440" t="str">
        <f>("大林慈院單位藏書")</f>
        <v>大林慈院單位藏書</v>
      </c>
      <c r="H440" t="str">
        <f>("護理部")</f>
        <v>護理部</v>
      </c>
    </row>
    <row r="441" spans="1:8">
      <c r="A441" t="str">
        <f>("D0016234")</f>
        <v>D0016234</v>
      </c>
      <c r="B441" t="str">
        <f>("嬰幼兒營養餐 :150道營養食譜 + 450題餵養疑惑解答 /")</f>
        <v>嬰幼兒營養餐 :150道營養食譜 + 450題餵養疑惑解答 /</v>
      </c>
      <c r="C441" t="str">
        <f>("李婉萍 ")</f>
        <v xml:space="preserve">李婉萍 </v>
      </c>
      <c r="D441" t="str">
        <f>("聯合發行經銷,;人類智庫數位科技出版 :")</f>
        <v>聯合發行經銷,;人類智庫數位科技出版 :</v>
      </c>
      <c r="E441" t="str">
        <f>("428.3 8476 2018")</f>
        <v>428.3 8476 2018</v>
      </c>
      <c r="F441" t="str">
        <f>("2018")</f>
        <v>2018</v>
      </c>
      <c r="G441" t="str">
        <f>("大林慈院單位藏書")</f>
        <v>大林慈院單位藏書</v>
      </c>
      <c r="H441" t="str">
        <f>("產後護理之家")</f>
        <v>產後護理之家</v>
      </c>
    </row>
    <row r="442" spans="1:8">
      <c r="A442" t="str">
        <f>("D0012386")</f>
        <v>D0012386</v>
      </c>
      <c r="B442" t="str">
        <f>("幫助母親哺餵母乳")</f>
        <v>幫助母親哺餵母乳</v>
      </c>
      <c r="C442" t="str">
        <f>("")</f>
        <v/>
      </c>
      <c r="D442" t="str">
        <f>("行政院衛生署國民康局")</f>
        <v>行政院衛生署國民康局</v>
      </c>
      <c r="E442" t="str">
        <f>("428.3 8534 2001")</f>
        <v>428.3 8534 2001</v>
      </c>
      <c r="F442" t="str">
        <f>("2001")</f>
        <v>2001</v>
      </c>
      <c r="G442" t="str">
        <f>("大林慈院藏書區")</f>
        <v>大林慈院藏書區</v>
      </c>
    </row>
    <row r="443" spans="1:8">
      <c r="A443" t="str">
        <f>("D0006354")</f>
        <v>D0006354</v>
      </c>
      <c r="B443" t="str">
        <f>("嬰幼兒營養與膳食 /")</f>
        <v>嬰幼兒營養與膳食 /</v>
      </c>
      <c r="C443" t="str">
        <f>("孔慶聞 ")</f>
        <v xml:space="preserve">孔慶聞 </v>
      </c>
      <c r="D443" t="str">
        <f>("永大,")</f>
        <v>永大,</v>
      </c>
      <c r="E443" t="str">
        <f>("428.3 8564 2001")</f>
        <v>428.3 8564 2001</v>
      </c>
      <c r="F443" t="str">
        <f>("2001")</f>
        <v>2001</v>
      </c>
      <c r="G443" t="str">
        <f>("大林慈院藏書區")</f>
        <v>大林慈院藏書區</v>
      </c>
    </row>
    <row r="444" spans="1:8">
      <c r="A444" t="str">
        <f>("D0002774")</f>
        <v>D0002774</v>
      </c>
      <c r="B444" t="str">
        <f>("嬰幼兒營養與膳食 =Nutrition in infancy and childhood /")</f>
        <v>嬰幼兒營養與膳食 =Nutrition in infancy and childhood /</v>
      </c>
      <c r="C444" t="str">
        <f>("孔慶聞 ")</f>
        <v xml:space="preserve">孔慶聞 </v>
      </c>
      <c r="D444" t="str">
        <f>("永大,")</f>
        <v>永大,</v>
      </c>
      <c r="E444" t="str">
        <f>("428.3 8564 2006")</f>
        <v>428.3 8564 2006</v>
      </c>
      <c r="F444" t="str">
        <f>("2006")</f>
        <v>2006</v>
      </c>
      <c r="G444" t="str">
        <f>("大林慈院藏書區")</f>
        <v>大林慈院藏書區</v>
      </c>
      <c r="H444" t="str">
        <f>("護理部")</f>
        <v>護理部</v>
      </c>
    </row>
    <row r="445" spans="1:8">
      <c r="A445" t="str">
        <f>("D0000747")</f>
        <v>D0000747</v>
      </c>
      <c r="B445" t="str">
        <f>("幼兒營養與膳食 /")</f>
        <v>幼兒營養與膳食 /</v>
      </c>
      <c r="C445" t="str">
        <f>("孔慶聞 ")</f>
        <v xml:space="preserve">孔慶聞 </v>
      </c>
      <c r="D445" t="str">
        <f>("永大,")</f>
        <v>永大,</v>
      </c>
      <c r="E445" t="str">
        <f>("428.3 8565 1999")</f>
        <v>428.3 8565 1999</v>
      </c>
      <c r="F445" t="str">
        <f>("1999")</f>
        <v>1999</v>
      </c>
      <c r="G445" t="str">
        <f>("大林慈院藏書區")</f>
        <v>大林慈院藏書區</v>
      </c>
    </row>
    <row r="446" spans="1:8">
      <c r="A446" t="str">
        <f>("D0016226")</f>
        <v>D0016226</v>
      </c>
      <c r="B446" t="str">
        <f>("職場奶媽攻略 :母乳媽媽必讀的追奶秘方 /")</f>
        <v>職場奶媽攻略 :母乳媽媽必讀的追奶秘方 /</v>
      </c>
      <c r="C446" t="str">
        <f>("周贇(Chow, Catherine) ")</f>
        <v xml:space="preserve">周贇(Chow, Catherine) </v>
      </c>
      <c r="D446" t="str">
        <f>("萬里機構出版 ;;香港聯合書刊物流發行,")</f>
        <v>萬里機構出版 ;;香港聯合書刊物流發行,</v>
      </c>
      <c r="E446" t="str">
        <f>("428.3 862 2018")</f>
        <v>428.3 862 2018</v>
      </c>
      <c r="F446" t="str">
        <f>("2018")</f>
        <v>2018</v>
      </c>
      <c r="G446" t="str">
        <f>("大林慈院單位藏書")</f>
        <v>大林慈院單位藏書</v>
      </c>
      <c r="H446" t="str">
        <f>("產後護理之家")</f>
        <v>產後護理之家</v>
      </c>
    </row>
    <row r="447" spans="1:8">
      <c r="A447" t="str">
        <f>("D0016220")</f>
        <v>D0016220</v>
      </c>
      <c r="B447" t="str">
        <f>("0-24個月素食寶寶副食品營養全書 :國內第1本專為素食寶寶 量身規劃營養美味食典 /")</f>
        <v>0-24個月素食寶寶副食品營養全書 :國內第1本專為素食寶寶 量身規劃營養美味食典 /</v>
      </c>
      <c r="C447" t="str">
        <f>("楊忠偉 ")</f>
        <v xml:space="preserve">楊忠偉 </v>
      </c>
      <c r="D447" t="str">
        <f>("家庭傳媒城邦分公司發行,;新手父母, 城邦文化出版 :")</f>
        <v>家庭傳媒城邦分公司發行,;新手父母, 城邦文化出版 :</v>
      </c>
      <c r="E447" t="str">
        <f>("428.3 8647 2017")</f>
        <v>428.3 8647 2017</v>
      </c>
      <c r="F447" t="str">
        <f>("2017")</f>
        <v>2017</v>
      </c>
      <c r="G447" t="str">
        <f>("大林慈院單位藏書")</f>
        <v>大林慈院單位藏書</v>
      </c>
      <c r="H447" t="str">
        <f>("產後護理之家")</f>
        <v>產後護理之家</v>
      </c>
    </row>
    <row r="448" spans="1:8">
      <c r="A448" t="str">
        <f>("D0016228")</f>
        <v>D0016228</v>
      </c>
      <c r="B448" t="str">
        <f>("愛哺乳 :哺餵母乳大小事 /")</f>
        <v>愛哺乳 :哺餵母乳大小事 /</v>
      </c>
      <c r="C448" t="str">
        <f>("蕭如芳(育兒作者),文字作者 ")</f>
        <v xml:space="preserve">蕭如芳(育兒作者),文字作者 </v>
      </c>
      <c r="D448" t="str">
        <f>("新手父母出版 :;城邦文化事業股份有限公司出版 :;英屬蓋曼群島商家庭傳媒股份有限公司城邦分公司發行,")</f>
        <v>新手父母出版 :;城邦文化事業股份有限公司出版 :;英屬蓋曼群島商家庭傳媒股份有限公司城邦分公司發行,</v>
      </c>
      <c r="E448" t="str">
        <f>("428.3 8667 2018")</f>
        <v>428.3 8667 2018</v>
      </c>
      <c r="F448" t="str">
        <f>("2018")</f>
        <v>2018</v>
      </c>
      <c r="G448" t="str">
        <f>("大林慈院單位藏書")</f>
        <v>大林慈院單位藏書</v>
      </c>
      <c r="H448" t="str">
        <f>("產後護理之家")</f>
        <v>產後護理之家</v>
      </c>
    </row>
    <row r="449" spans="1:8">
      <c r="A449" t="str">
        <f>("D0015768")</f>
        <v>D0015768</v>
      </c>
      <c r="B449" t="str">
        <f>("新手媽媽哺乳親餵的24堂課 / ")</f>
        <v xml:space="preserve">新手媽媽哺乳親餵的24堂課 / </v>
      </c>
      <c r="C449" t="str">
        <f>("紐曼(Newman, Jack) ")</f>
        <v xml:space="preserve">紐曼(Newman, Jack) </v>
      </c>
      <c r="D449" t="str">
        <f>("臺灣愛思唯爾, ")</f>
        <v xml:space="preserve">臺灣愛思唯爾, </v>
      </c>
      <c r="E449" t="str">
        <f>("428.3 868 2017")</f>
        <v>428.3 868 2017</v>
      </c>
      <c r="F449" t="str">
        <f>("2017")</f>
        <v>2017</v>
      </c>
      <c r="G449" t="str">
        <f>("大林慈院藏書區")</f>
        <v>大林慈院藏書區</v>
      </c>
      <c r="H449" t="str">
        <f>("學習資源組")</f>
        <v>學習資源組</v>
      </c>
    </row>
    <row r="450" spans="1:8">
      <c r="A450" t="str">
        <f>("D0016224")</f>
        <v>D0016224</v>
      </c>
      <c r="B450" t="str">
        <f>("母乳最好 :母乳,上天賜予寶寶最完美的食物 /")</f>
        <v>母乳最好 :母乳,上天賜予寶寶最完美的食物 /</v>
      </c>
      <c r="C450" t="str">
        <f>("陳昭惠(醫學) ")</f>
        <v xml:space="preserve">陳昭惠(醫學) </v>
      </c>
      <c r="D450" t="str">
        <f>("家庭傳媒城邦分公司發行,;新手父母出版 :")</f>
        <v>家庭傳媒城邦分公司發行,;新手父母出版 :</v>
      </c>
      <c r="E450" t="str">
        <f>("428.3 8753 2017")</f>
        <v>428.3 8753 2017</v>
      </c>
      <c r="F450" t="str">
        <f>("2017")</f>
        <v>2017</v>
      </c>
      <c r="G450" t="str">
        <f>("大林慈院單位藏書")</f>
        <v>大林慈院單位藏書</v>
      </c>
      <c r="H450" t="str">
        <f>("產後護理之家")</f>
        <v>產後護理之家</v>
      </c>
    </row>
    <row r="451" spans="1:8">
      <c r="A451" t="str">
        <f>("D0016431")</f>
        <v>D0016431</v>
      </c>
      <c r="B451" t="str">
        <f>("寶寶愛吃的離乳食譜 /")</f>
        <v>寶寶愛吃的離乳食譜 /</v>
      </c>
      <c r="C451" t="str">
        <f>("林美慧")</f>
        <v>林美慧</v>
      </c>
      <c r="D451" t="str">
        <f>("腳ㄚ文化出版 ;;千富圖書總經銷,")</f>
        <v>腳ㄚ文化出版 ;;千富圖書總經銷,</v>
      </c>
      <c r="E451" t="str">
        <f>("428.3 8763 2010")</f>
        <v>428.3 8763 2010</v>
      </c>
      <c r="F451" t="str">
        <f>("2010")</f>
        <v>2010</v>
      </c>
      <c r="G451" t="str">
        <f>("大林慈院藏書區")</f>
        <v>大林慈院藏書區</v>
      </c>
    </row>
    <row r="452" spans="1:8">
      <c r="A452" t="str">
        <f>("D0014403")</f>
        <v>D0014403</v>
      </c>
      <c r="B452" t="str">
        <f>("百萬父母都說讚!菜市場的營養學 : 權威營養師為寶寶寫的110道主、副食品烹調技巧 / ")</f>
        <v xml:space="preserve">百萬父母都說讚!菜市場的營養學 : 權威營養師為寶寶寫的110道主、副食品烹調技巧 / </v>
      </c>
      <c r="C452" t="str">
        <f>("饒月娟編著 ")</f>
        <v xml:space="preserve">饒月娟編著 </v>
      </c>
      <c r="D452" t="str">
        <f>("臺灣廣廈, ")</f>
        <v xml:space="preserve">臺灣廣廈, </v>
      </c>
      <c r="E452" t="str">
        <f>("428.3 8766 2012")</f>
        <v>428.3 8766 2012</v>
      </c>
      <c r="F452" t="str">
        <f>("2012")</f>
        <v>2012</v>
      </c>
      <c r="G452" t="str">
        <f>("大林慈院藏書區")</f>
        <v>大林慈院藏書區</v>
      </c>
      <c r="H452" t="str">
        <f>("營養治療科 ")</f>
        <v xml:space="preserve">營養治療科 </v>
      </c>
    </row>
    <row r="453" spans="1:8">
      <c r="A453" t="str">
        <f>("D0016227")</f>
        <v>D0016227</v>
      </c>
      <c r="B453" t="str">
        <f>("母乳親餵Q&amp;A :媽咪的好幫手實踐篇! /")</f>
        <v>母乳親餵Q&amp;A :媽咪的好幫手實踐篇! /</v>
      </c>
      <c r="C453" t="str">
        <f>("蘇樂寧(護理學) ")</f>
        <v xml:space="preserve">蘇樂寧(護理學) </v>
      </c>
      <c r="D453" t="str">
        <f>("遠足文化發行,;方舟文化出版 :")</f>
        <v>遠足文化發行,;方舟文化出版 :</v>
      </c>
      <c r="E453" t="str">
        <f>("428.3 8894 2014")</f>
        <v>428.3 8894 2014</v>
      </c>
      <c r="F453" t="str">
        <f>("2014")</f>
        <v>2014</v>
      </c>
      <c r="G453" t="str">
        <f>("大林慈院單位藏書")</f>
        <v>大林慈院單位藏書</v>
      </c>
      <c r="H453" t="str">
        <f>("產後護理之家")</f>
        <v>產後護理之家</v>
      </c>
    </row>
    <row r="454" spans="1:8">
      <c r="A454" t="str">
        <f>("D0016233")</f>
        <v>D0016233</v>
      </c>
      <c r="B454" t="str">
        <f>("0-2歲寶寶的遊戲、運動與飲食 :讓孩子快樂學習, 培養適應力、思考力和觀察力 /")</f>
        <v>0-2歲寶寶的遊戲、運動與飲食 :讓孩子快樂學習, 培養適應力、思考力和觀察力 /</v>
      </c>
      <c r="C454" t="str">
        <f>("樂媽咪孕產育團隊 ")</f>
        <v xml:space="preserve">樂媽咪孕產育團隊 </v>
      </c>
      <c r="D454" t="str">
        <f>("創智文化總經銷,;華威國際出版 ; ")</f>
        <v xml:space="preserve">創智文化總經銷,;華威國際出版 ; </v>
      </c>
      <c r="E454" t="str">
        <f>("428.3 8968 2018")</f>
        <v>428.3 8968 2018</v>
      </c>
      <c r="F454" t="str">
        <f>("2018")</f>
        <v>2018</v>
      </c>
      <c r="G454" t="str">
        <f>("大林慈院單位藏書")</f>
        <v>大林慈院單位藏書</v>
      </c>
      <c r="H454" t="str">
        <f>("產後護理之家")</f>
        <v>產後護理之家</v>
      </c>
    </row>
    <row r="455" spans="1:8">
      <c r="A455" t="str">
        <f>("D0016570")</f>
        <v>D0016570</v>
      </c>
      <c r="B455" t="str">
        <f>("泌乳支持技巧操作手冊 =Lactation support skills manual /")</f>
        <v>泌乳支持技巧操作手冊 =Lactation support skills manual /</v>
      </c>
      <c r="C455" t="str">
        <f>("")</f>
        <v/>
      </c>
      <c r="D455" t="str">
        <f>("華人泌乳顧問協會,")</f>
        <v>華人泌乳顧問協會,</v>
      </c>
      <c r="E455" t="str">
        <f>("428.3026 8467 2020")</f>
        <v>428.3026 8467 2020</v>
      </c>
      <c r="F455" t="str">
        <f>("2020")</f>
        <v>2020</v>
      </c>
      <c r="G455" t="str">
        <f>("大林慈院單位藏書")</f>
        <v>大林慈院單位藏書</v>
      </c>
      <c r="H455" t="str">
        <f>("護理部")</f>
        <v>護理部</v>
      </c>
    </row>
    <row r="456" spans="1:8">
      <c r="A456" t="str">
        <f>("D0016571")</f>
        <v>D0016571</v>
      </c>
      <c r="B456" t="str">
        <f>("泌乳支持技巧操作手冊 =Lactation support skills manual /")</f>
        <v>泌乳支持技巧操作手冊 =Lactation support skills manual /</v>
      </c>
      <c r="C456" t="str">
        <f>("")</f>
        <v/>
      </c>
      <c r="D456" t="str">
        <f>("華人泌乳顧問協會,")</f>
        <v>華人泌乳顧問協會,</v>
      </c>
      <c r="E456" t="str">
        <f>("428.3026 8467 2020 c.2")</f>
        <v>428.3026 8467 2020 c.2</v>
      </c>
      <c r="F456" t="str">
        <f>("2020")</f>
        <v>2020</v>
      </c>
      <c r="G456" t="str">
        <f>("大林慈院單位藏書")</f>
        <v>大林慈院單位藏書</v>
      </c>
      <c r="H456" t="str">
        <f>("護理部")</f>
        <v>護理部</v>
      </c>
    </row>
    <row r="457" spans="1:8">
      <c r="A457" t="str">
        <f>("D0016572")</f>
        <v>D0016572</v>
      </c>
      <c r="B457" t="str">
        <f>("泌乳支持技巧操作手冊 =Lactation support skills manual /")</f>
        <v>泌乳支持技巧操作手冊 =Lactation support skills manual /</v>
      </c>
      <c r="C457" t="str">
        <f>("")</f>
        <v/>
      </c>
      <c r="D457" t="str">
        <f>("華人泌乳顧問協會,")</f>
        <v>華人泌乳顧問協會,</v>
      </c>
      <c r="E457" t="str">
        <f>("428.3026 8467 2020 c.3")</f>
        <v>428.3026 8467 2020 c.3</v>
      </c>
      <c r="F457" t="str">
        <f>("2020")</f>
        <v>2020</v>
      </c>
      <c r="G457" t="str">
        <f>("大林慈院單位藏書")</f>
        <v>大林慈院單位藏書</v>
      </c>
      <c r="H457" t="str">
        <f>("護理部")</f>
        <v>護理部</v>
      </c>
    </row>
    <row r="458" spans="1:8">
      <c r="A458" t="str">
        <f>("D0016573")</f>
        <v>D0016573</v>
      </c>
      <c r="B458" t="str">
        <f>("泌乳支持技巧操作手冊 =Lactation support skills manual /")</f>
        <v>泌乳支持技巧操作手冊 =Lactation support skills manual /</v>
      </c>
      <c r="C458" t="str">
        <f>("")</f>
        <v/>
      </c>
      <c r="D458" t="str">
        <f>("華人泌乳顧問協會,")</f>
        <v>華人泌乳顧問協會,</v>
      </c>
      <c r="E458" t="str">
        <f>("428.3026 8467 2020 c.4")</f>
        <v>428.3026 8467 2020 c.4</v>
      </c>
      <c r="F458" t="str">
        <f>("2020")</f>
        <v>2020</v>
      </c>
      <c r="G458" t="str">
        <f>("大林慈院單位藏書")</f>
        <v>大林慈院單位藏書</v>
      </c>
      <c r="H458" t="str">
        <f>("護理部")</f>
        <v>護理部</v>
      </c>
    </row>
    <row r="459" spans="1:8">
      <c r="A459" t="str">
        <f>("D0016574")</f>
        <v>D0016574</v>
      </c>
      <c r="B459" t="str">
        <f>("泌乳支持技巧操作手冊 =Lactation support skills manual /")</f>
        <v>泌乳支持技巧操作手冊 =Lactation support skills manual /</v>
      </c>
      <c r="C459" t="str">
        <f>("")</f>
        <v/>
      </c>
      <c r="D459" t="str">
        <f>("華人泌乳顧問協會,")</f>
        <v>華人泌乳顧問協會,</v>
      </c>
      <c r="E459" t="str">
        <f>("428.3026 8467 2020 c.5")</f>
        <v>428.3026 8467 2020 c.5</v>
      </c>
      <c r="F459" t="str">
        <f>("2020")</f>
        <v>2020</v>
      </c>
      <c r="G459" t="str">
        <f>("大林慈院單位藏書")</f>
        <v>大林慈院單位藏書</v>
      </c>
      <c r="H459" t="str">
        <f>("護理部")</f>
        <v>護理部</v>
      </c>
    </row>
    <row r="460" spans="1:8">
      <c r="A460" t="str">
        <f>("D0009087")</f>
        <v>D0009087</v>
      </c>
      <c r="B460" t="str">
        <f>("讓孩子的大腦動起來 :最科學的聰明育兒法 /")</f>
        <v>讓孩子的大腦動起來 :最科學的聰明育兒法 /</v>
      </c>
      <c r="C460" t="str">
        <f>("洪蘭 ")</f>
        <v xml:space="preserve">洪蘭 </v>
      </c>
      <c r="D460" t="str">
        <f>("信誼基金發行,")</f>
        <v>信誼基金發行,</v>
      </c>
      <c r="E460" t="str">
        <f>("428.8 828 2004")</f>
        <v>428.8 828 2004</v>
      </c>
      <c r="F460" t="str">
        <f>("2004")</f>
        <v>2004</v>
      </c>
      <c r="G460" t="str">
        <f>("大林慈院藏書區")</f>
        <v>大林慈院藏書區</v>
      </c>
      <c r="H460" t="str">
        <f>("聽語中心")</f>
        <v>聽語中心</v>
      </c>
    </row>
    <row r="461" spans="1:8">
      <c r="A461" t="str">
        <f>("D0009896")</f>
        <v>D0009896</v>
      </c>
      <c r="B461" t="str">
        <f>("1~3歲幼兒智能啟發遊戲 /")</f>
        <v>1~3歲幼兒智能啟發遊戲 /</v>
      </c>
      <c r="C461" t="str">
        <f>("松原達哉 ")</f>
        <v xml:space="preserve">松原達哉 </v>
      </c>
      <c r="D461" t="str">
        <f>("笛藤,")</f>
        <v>笛藤,</v>
      </c>
      <c r="E461" t="str">
        <f>("428.8 8337 1996 V.1")</f>
        <v>428.8 8337 1996 V.1</v>
      </c>
      <c r="F461" t="str">
        <f>("1996")</f>
        <v>1996</v>
      </c>
      <c r="G461" t="str">
        <f>("大林慈院藏書區")</f>
        <v>大林慈院藏書區</v>
      </c>
    </row>
    <row r="462" spans="1:8">
      <c r="A462" t="str">
        <f>("D0009897")</f>
        <v>D0009897</v>
      </c>
      <c r="B462" t="str">
        <f>("1~3歲幼兒智能啟發遊戲 /")</f>
        <v>1~3歲幼兒智能啟發遊戲 /</v>
      </c>
      <c r="C462" t="str">
        <f>("松原達哉 ")</f>
        <v xml:space="preserve">松原達哉 </v>
      </c>
      <c r="D462" t="str">
        <f>("笛藤,")</f>
        <v>笛藤,</v>
      </c>
      <c r="E462" t="str">
        <f>("428.8 8337 1996 V.2")</f>
        <v>428.8 8337 1996 V.2</v>
      </c>
      <c r="F462" t="str">
        <f>("1996")</f>
        <v>1996</v>
      </c>
      <c r="G462" t="str">
        <f>("大林慈院藏書區")</f>
        <v>大林慈院藏書區</v>
      </c>
    </row>
    <row r="463" spans="1:8">
      <c r="A463" t="str">
        <f>("D0016455")</f>
        <v>D0016455</v>
      </c>
      <c r="B463" t="str">
        <f>("排好了唷!")</f>
        <v>排好了唷!</v>
      </c>
      <c r="C463" t="str">
        <f>("三浦太郎,1968-")</f>
        <v>三浦太郎,1968-</v>
      </c>
      <c r="D463" t="str">
        <f>("小魯文化,")</f>
        <v>小魯文化,</v>
      </c>
      <c r="E463" t="str">
        <f>("428.8 8423-2 2018")</f>
        <v>428.8 8423-2 2018</v>
      </c>
      <c r="F463" t="str">
        <f>("2018")</f>
        <v>2018</v>
      </c>
      <c r="G463" t="str">
        <f>("大林慈院藏書區")</f>
        <v>大林慈院藏書區</v>
      </c>
      <c r="H463" t="str">
        <f>("小兒科")</f>
        <v>小兒科</v>
      </c>
    </row>
    <row r="464" spans="1:8">
      <c r="A464" t="str">
        <f>("D0016456")</f>
        <v>D0016456</v>
      </c>
      <c r="B464" t="str">
        <f>("親一親")</f>
        <v>親一親</v>
      </c>
      <c r="C464" t="str">
        <f>("三浦太郎,1968-")</f>
        <v>三浦太郎,1968-</v>
      </c>
      <c r="D464" t="str">
        <f>("小魯文化,")</f>
        <v>小魯文化,</v>
      </c>
      <c r="E464" t="str">
        <f>("428.8 8423-3 2018")</f>
        <v>428.8 8423-3 2018</v>
      </c>
      <c r="F464" t="str">
        <f>("2018")</f>
        <v>2018</v>
      </c>
      <c r="G464" t="str">
        <f>("大林慈院藏書區")</f>
        <v>大林慈院藏書區</v>
      </c>
      <c r="H464" t="str">
        <f>("小兒科")</f>
        <v>小兒科</v>
      </c>
    </row>
    <row r="465" spans="1:8">
      <c r="A465" t="str">
        <f>("D0009889")</f>
        <v>D0009889</v>
      </c>
      <c r="B465" t="str">
        <f>("我家小孩變聰明 /")</f>
        <v>我家小孩變聰明 /</v>
      </c>
      <c r="C465" t="str">
        <f>("莊淇銘 ")</f>
        <v xml:space="preserve">莊淇銘 </v>
      </c>
      <c r="D465" t="str">
        <f>("天下遠見出版,")</f>
        <v>天下遠見出版,</v>
      </c>
      <c r="E465" t="str">
        <f>("428.8 8526 2004")</f>
        <v>428.8 8526 2004</v>
      </c>
      <c r="F465" t="str">
        <f>("2004")</f>
        <v>2004</v>
      </c>
      <c r="G465" t="str">
        <f>("大林慈院藏書區")</f>
        <v>大林慈院藏書區</v>
      </c>
    </row>
    <row r="466" spans="1:8">
      <c r="A466" t="str">
        <f>("D0007217")</f>
        <v>D0007217</v>
      </c>
      <c r="B466" t="str">
        <f>("最新胎教訓練手冊 /")</f>
        <v>最新胎教訓練手冊 /</v>
      </c>
      <c r="C466" t="str">
        <f>("巴尼(Verny, Thomas) ")</f>
        <v xml:space="preserve">巴尼(Verny, Thomas) </v>
      </c>
      <c r="D466" t="str">
        <f>("世茂,")</f>
        <v>世茂,</v>
      </c>
      <c r="E466" t="str">
        <f>("428.8 8534 1991")</f>
        <v>428.8 8534 1991</v>
      </c>
      <c r="F466" t="str">
        <f>("1991")</f>
        <v>1991</v>
      </c>
      <c r="G466" t="str">
        <f>("大林慈院藏書區")</f>
        <v>大林慈院藏書區</v>
      </c>
    </row>
    <row r="467" spans="1:8">
      <c r="A467" t="str">
        <f>("D0009123")</f>
        <v>D0009123</v>
      </c>
      <c r="B467" t="str">
        <f>("如何教寶寶數學 /")</f>
        <v>如何教寶寶數學 /</v>
      </c>
      <c r="C467" t="str">
        <f>("多門(Doman, Glenn J.) ")</f>
        <v xml:space="preserve">多門(Doman, Glenn J.) </v>
      </c>
      <c r="D467" t="str">
        <f>("世茂,")</f>
        <v>世茂,</v>
      </c>
      <c r="E467" t="str">
        <f>("428.8 854 1994")</f>
        <v>428.8 854 1994</v>
      </c>
      <c r="F467" t="str">
        <f>("1994")</f>
        <v>1994</v>
      </c>
      <c r="G467" t="str">
        <f>("大林慈院藏書區")</f>
        <v>大林慈院藏書區</v>
      </c>
    </row>
    <row r="468" spans="1:8">
      <c r="A468" t="str">
        <f>("D0011397")</f>
        <v>D0011397</v>
      </c>
      <c r="B468" t="str">
        <f>("不可思議的胎教 : 劃時代的育兒新觀念")</f>
        <v>不可思議的胎教 : 劃時代的育兒新觀念</v>
      </c>
      <c r="C468" t="str">
        <f>("")</f>
        <v/>
      </c>
      <c r="D468" t="str">
        <f>("智慧大學")</f>
        <v>智慧大學</v>
      </c>
      <c r="E468" t="str">
        <f>("428.8 8553 2007")</f>
        <v>428.8 8553 2007</v>
      </c>
      <c r="F468" t="str">
        <f>("2007")</f>
        <v>2007</v>
      </c>
      <c r="G468" t="str">
        <f>("大林慈院藏書區")</f>
        <v>大林慈院藏書區</v>
      </c>
    </row>
    <row r="469" spans="1:8">
      <c r="A469" t="str">
        <f>("D0016103")</f>
        <v>D0016103</v>
      </c>
      <c r="B469" t="str">
        <f>("跟著光光老師,教出高正向小孩 : 家有大雄不用煩!「兒童專注力教主」有效解決天天上演的教養難題 / ")</f>
        <v xml:space="preserve">跟著光光老師,教出高正向小孩 : 家有大雄不用煩!「兒童專注力教主」有效解決天天上演的教養難題 / </v>
      </c>
      <c r="C469" t="str">
        <f>("廖笙光著")</f>
        <v>廖笙光著</v>
      </c>
      <c r="D469" t="str">
        <f>("遠流, ")</f>
        <v xml:space="preserve">遠流, </v>
      </c>
      <c r="E469" t="str">
        <f>("428.8 8566 2018")</f>
        <v>428.8 8566 2018</v>
      </c>
      <c r="F469" t="str">
        <f>("2018")</f>
        <v>2018</v>
      </c>
      <c r="G469" t="str">
        <f>("大林慈院藏書區")</f>
        <v>大林慈院藏書區</v>
      </c>
      <c r="H469" t="str">
        <f>("腫瘤中心")</f>
        <v>腫瘤中心</v>
      </c>
    </row>
    <row r="470" spans="1:8">
      <c r="A470" t="str">
        <f>("D0016530")</f>
        <v>D0016530</v>
      </c>
      <c r="B470" t="str">
        <f>("蒙特梭利教養進行式：翩翩園長的45個正向教養解方 /")</f>
        <v>蒙特梭利教養進行式：翩翩園長的45個正向教養解方 /</v>
      </c>
      <c r="C470" t="str">
        <f>("何翩翩 ")</f>
        <v xml:space="preserve">何翩翩 </v>
      </c>
      <c r="D470" t="str">
        <f>("親子天下股份有限公司, ;大和圖書有限公司, ")</f>
        <v xml:space="preserve">親子天下股份有限公司, ;大和圖書有限公司, </v>
      </c>
      <c r="E470" t="str">
        <f>("428.8 8733 2019")</f>
        <v>428.8 8733 2019</v>
      </c>
      <c r="F470" t="str">
        <f>("2019")</f>
        <v>2019</v>
      </c>
      <c r="G470" t="str">
        <f>("大林慈院藏書區")</f>
        <v>大林慈院藏書區</v>
      </c>
      <c r="H470" t="str">
        <f>("學習資源組")</f>
        <v>學習資源組</v>
      </c>
    </row>
    <row r="471" spans="1:8">
      <c r="A471" t="str">
        <f>("D0009217")</f>
        <v>D0009217</v>
      </c>
      <c r="B471" t="str">
        <f>("如何培養資優兒童 /")</f>
        <v>如何培養資優兒童 /</v>
      </c>
      <c r="C471" t="str">
        <f>("")</f>
        <v/>
      </c>
      <c r="D471" t="str">
        <f>("武陵   ,")</f>
        <v>武陵   ,</v>
      </c>
      <c r="E471" t="str">
        <f>("428.8 8734 1997")</f>
        <v>428.8 8734 1997</v>
      </c>
      <c r="F471" t="str">
        <f>("1997")</f>
        <v>1997</v>
      </c>
      <c r="G471" t="str">
        <f>("大林慈院藏書區")</f>
        <v>大林慈院藏書區</v>
      </c>
    </row>
    <row r="472" spans="1:8">
      <c r="A472" t="str">
        <f>("D0016453")</f>
        <v>D0016453</v>
      </c>
      <c r="B472" t="str">
        <f>("親愛的動物園動物翻翻書 /")</f>
        <v>親愛的動物園動物翻翻書 /</v>
      </c>
      <c r="C472" t="str">
        <f>("坎貝爾(Campbell, Rod)")</f>
        <v>坎貝爾(Campbell, Rod)</v>
      </c>
      <c r="D472" t="str">
        <f>("上誼文化,")</f>
        <v>上誼文化,</v>
      </c>
      <c r="E472" t="str">
        <f>("428.8 8743 2019")</f>
        <v>428.8 8743 2019</v>
      </c>
      <c r="F472" t="str">
        <f>("2019")</f>
        <v>2019</v>
      </c>
      <c r="G472" t="str">
        <f>("大林慈院藏書區")</f>
        <v>大林慈院藏書區</v>
      </c>
      <c r="H472" t="str">
        <f>("小兒科")</f>
        <v>小兒科</v>
      </c>
    </row>
    <row r="473" spans="1:8">
      <c r="A473" t="str">
        <f>("D0013274")</f>
        <v>D0013274</v>
      </c>
      <c r="B473" t="str">
        <f>("為孩子說故事 = Storytelling with children / ")</f>
        <v xml:space="preserve">為孩子說故事 = Storytelling with children / </v>
      </c>
      <c r="C473" t="str">
        <f>("Mellon, Nancy作 ")</f>
        <v xml:space="preserve">Mellon, Nancy作 </v>
      </c>
      <c r="D473" t="str">
        <f>("洪葉文化, ")</f>
        <v xml:space="preserve">洪葉文化, </v>
      </c>
      <c r="E473" t="str">
        <f>("428.83 8697 2013")</f>
        <v>428.83 8697 2013</v>
      </c>
      <c r="F473" t="str">
        <f>("2013")</f>
        <v>2013</v>
      </c>
      <c r="G473" t="str">
        <f>("大林慈院藏書區")</f>
        <v>大林慈院藏書區</v>
      </c>
      <c r="H473" t="str">
        <f>("學習資源組")</f>
        <v>學習資源組</v>
      </c>
    </row>
    <row r="474" spans="1:8">
      <c r="A474" t="str">
        <f>("D0013272")</f>
        <v>D0013272</v>
      </c>
      <c r="B474" t="str">
        <f>("張爸爸教你陪孩子玩故事 :36個一定要玩的精彩故事 /")</f>
        <v>張爸爸教你陪孩子玩故事 :36個一定要玩的精彩故事 /</v>
      </c>
      <c r="C474" t="str">
        <f>("張大光 ")</f>
        <v xml:space="preserve">張大光 </v>
      </c>
      <c r="D474" t="str">
        <f>("高寶國際,")</f>
        <v>高寶國際,</v>
      </c>
      <c r="E474" t="str">
        <f>("428.83 8776 2011")</f>
        <v>428.83 8776 2011</v>
      </c>
      <c r="F474" t="str">
        <f>("2011")</f>
        <v>2011</v>
      </c>
      <c r="G474" t="str">
        <f>("大林慈院藏書區")</f>
        <v>大林慈院藏書區</v>
      </c>
      <c r="H474" t="str">
        <f>("學習資源組 ")</f>
        <v xml:space="preserve">學習資源組 </v>
      </c>
    </row>
    <row r="475" spans="1:8">
      <c r="A475" t="str">
        <f>("D0014075")</f>
        <v>D0014075</v>
      </c>
      <c r="B475" t="str">
        <f>("教寶寶說話的10堂課 / ")</f>
        <v xml:space="preserve">教寶寶說話的10堂課 / </v>
      </c>
      <c r="C475" t="str">
        <f>("多芬堤(Dougherty, Dorothy P.)作 ")</f>
        <v xml:space="preserve">多芬堤(Dougherty, Dorothy P.)作 </v>
      </c>
      <c r="D475" t="str">
        <f>("新手父母出版 : ;家庭傳媒城邦分公司發行, ")</f>
        <v xml:space="preserve">新手父母出版 : ;家庭傳媒城邦分公司發行, </v>
      </c>
      <c r="E475" t="str">
        <f>("428.85 8577 2012")</f>
        <v>428.85 8577 2012</v>
      </c>
      <c r="F475" t="str">
        <f>("2012")</f>
        <v>2012</v>
      </c>
      <c r="G475" t="str">
        <f>("大林慈院藏書區")</f>
        <v>大林慈院藏書區</v>
      </c>
      <c r="H475" t="str">
        <f>("聽語中心 ")</f>
        <v xml:space="preserve">聽語中心 </v>
      </c>
    </row>
    <row r="476" spans="1:8">
      <c r="A476" t="str">
        <f>("D0014686")</f>
        <v>D0014686</v>
      </c>
      <c r="B476" t="str">
        <f>("媽媽是我的英文老師 = My mother is my english teacher / ")</f>
        <v xml:space="preserve">媽媽是我的英文老師 = My mother is my english teacher / </v>
      </c>
      <c r="C476" t="str">
        <f>("金善護著 ")</f>
        <v xml:space="preserve">金善護著 </v>
      </c>
      <c r="D476" t="str">
        <f>("臺灣麥克, ")</f>
        <v xml:space="preserve">臺灣麥克, </v>
      </c>
      <c r="E476" t="str">
        <f>("428.85 8636 2011")</f>
        <v>428.85 8636 2011</v>
      </c>
      <c r="F476" t="str">
        <f>("2011")</f>
        <v>2011</v>
      </c>
      <c r="G476" t="str">
        <f>("大林慈院藏書區")</f>
        <v>大林慈院藏書區</v>
      </c>
    </row>
    <row r="477" spans="1:8">
      <c r="A477" t="str">
        <f>("D0016835")</f>
        <v>D0016835</v>
      </c>
      <c r="B477" t="str">
        <f>("1分鐘救命關鍵!你一定要知道的居家急救手冊 /")</f>
        <v>1分鐘救命關鍵!你一定要知道的居家急救手冊 /</v>
      </c>
      <c r="C477" t="str">
        <f>("洪子堯著")</f>
        <v>洪子堯著</v>
      </c>
      <c r="D477" t="str">
        <f>("創意市集 ,")</f>
        <v>創意市集 ,</v>
      </c>
      <c r="E477" t="str">
        <f>("429 8245 2020")</f>
        <v>429 8245 2020</v>
      </c>
      <c r="F477" t="str">
        <f>("2020")</f>
        <v>2020</v>
      </c>
      <c r="G477" t="str">
        <f>("大林慈院藏書區")</f>
        <v>大林慈院藏書區</v>
      </c>
      <c r="H477" t="str">
        <f>("學習資源組")</f>
        <v>學習資源組</v>
      </c>
    </row>
    <row r="478" spans="1:8">
      <c r="A478" t="str">
        <f>("D0004500")</f>
        <v>D0004500</v>
      </c>
      <c r="B478" t="str">
        <f>("群醫大會診.第2輯 /")</f>
        <v>群醫大會診.第2輯 /</v>
      </c>
      <c r="C478" t="str">
        <f>("")</f>
        <v/>
      </c>
      <c r="D478" t="str">
        <f>("澄清基金會,")</f>
        <v>澄清基金會,</v>
      </c>
      <c r="E478" t="str">
        <f>("429 8334 2009")</f>
        <v>429 8334 2009</v>
      </c>
      <c r="F478" t="str">
        <f>("2009")</f>
        <v>2009</v>
      </c>
      <c r="G478" t="str">
        <f>("大林慈院藏書區")</f>
        <v>大林慈院藏書區</v>
      </c>
    </row>
    <row r="479" spans="1:8">
      <c r="A479" t="str">
        <f>("D0005097")</f>
        <v>D0005097</v>
      </c>
      <c r="B479" t="str">
        <f>("恐怖家庭醫學 :小毛病變大麻煩 /")</f>
        <v>恐怖家庭醫學 :小毛病變大麻煩 /</v>
      </c>
      <c r="C479" t="str">
        <f>("郭姿均著 ")</f>
        <v xml:space="preserve">郭姿均著 </v>
      </c>
      <c r="D479" t="str">
        <f>("大牌出版,")</f>
        <v>大牌出版,</v>
      </c>
      <c r="E479" t="str">
        <f>("429 8434 2010")</f>
        <v>429 8434 2010</v>
      </c>
      <c r="F479" t="str">
        <f>("2010")</f>
        <v>2010</v>
      </c>
      <c r="G479" t="str">
        <f>("大林慈院藏書區")</f>
        <v>大林慈院藏書區</v>
      </c>
    </row>
    <row r="480" spans="1:8">
      <c r="A480" t="str">
        <f>("D0016883")</f>
        <v>D0016883</v>
      </c>
      <c r="B480" t="str">
        <f>("家醫 :守護你健康的好鄰居 /")</f>
        <v>家醫 :守護你健康的好鄰居 /</v>
      </c>
      <c r="C480" t="str">
        <f>("陳杰")</f>
        <v>陳杰</v>
      </c>
      <c r="D480" t="str">
        <f>("聯合發行經銷,;博客思出版發行 ;")</f>
        <v>聯合發行經銷,;博客思出版發行 ;</v>
      </c>
      <c r="E480" t="str">
        <f>("429 873 2021")</f>
        <v>429 873 2021</v>
      </c>
      <c r="F480" t="str">
        <f>("2021")</f>
        <v>2021</v>
      </c>
      <c r="G480" t="str">
        <f>("大林慈院藏書區")</f>
        <v>大林慈院藏書區</v>
      </c>
      <c r="H480" t="str">
        <f>("學習資源組")</f>
        <v>學習資源組</v>
      </c>
    </row>
    <row r="481" spans="1:8">
      <c r="A481" t="str">
        <f>("D0003232")</f>
        <v>D0003232</v>
      </c>
      <c r="B481" t="str">
        <f>("看病的方法 /")</f>
        <v>看病的方法 /</v>
      </c>
      <c r="C481" t="str">
        <f>("陳皇光著 ")</f>
        <v xml:space="preserve">陳皇光著 </v>
      </c>
      <c r="D481" t="str">
        <f>("寶瓶文化,")</f>
        <v>寶瓶文化,</v>
      </c>
      <c r="E481" t="str">
        <f>("429 8736 2008")</f>
        <v>429 8736 2008</v>
      </c>
      <c r="F481" t="str">
        <f>("2008")</f>
        <v>2008</v>
      </c>
      <c r="G481" t="str">
        <f>("大林慈院醫學人文區")</f>
        <v>大林慈院醫學人文區</v>
      </c>
      <c r="H481" t="str">
        <f>("專案經費")</f>
        <v>專案經費</v>
      </c>
    </row>
    <row r="482" spans="1:8">
      <c r="A482" t="str">
        <f>("D0016235")</f>
        <v>D0016235</v>
      </c>
      <c r="B482" t="str">
        <f>("餐桌上的偽科學 :加州大學醫學院教授破解上百種健康謠言和深入人心的醫學迷思= The bad science of medical myths &amp; nutrition rumors /")</f>
        <v>餐桌上的偽科學 :加州大學醫學院教授破解上百種健康謠言和深入人心的醫學迷思= The bad science of medical myths &amp; nutrition rumors /</v>
      </c>
      <c r="C482" t="str">
        <f>("林慶順 ")</f>
        <v xml:space="preserve">林慶順 </v>
      </c>
      <c r="D482" t="str">
        <f>("大和書報總經銷,;一心文化出版 :")</f>
        <v>大和書報總經銷,;一心文化出版 :</v>
      </c>
      <c r="E482" t="str">
        <f>("429 8765 2018")</f>
        <v>429 8765 2018</v>
      </c>
      <c r="F482" t="str">
        <f>("2018")</f>
        <v>2018</v>
      </c>
      <c r="G482" t="str">
        <f>("大林慈院藏書區")</f>
        <v>大林慈院藏書區</v>
      </c>
      <c r="H482" t="str">
        <f>("腫瘤中心 ")</f>
        <v xml:space="preserve">腫瘤中心 </v>
      </c>
    </row>
    <row r="483" spans="1:8">
      <c r="A483" t="str">
        <f>("D0002189")</f>
        <v>D0002189</v>
      </c>
      <c r="B483" t="str">
        <f>("今天不掛號 :歐醫生的33個健康妙處方 /")</f>
        <v>今天不掛號 :歐醫生的33個健康妙處方 /</v>
      </c>
      <c r="C483" t="str">
        <f>("歐陽林著 ")</f>
        <v xml:space="preserve">歐陽林著 </v>
      </c>
      <c r="D483" t="str">
        <f>("家庭傳媒城邦分公司發行,;麥田出版")</f>
        <v>家庭傳媒城邦分公司發行,;麥田出版</v>
      </c>
      <c r="E483" t="str">
        <f>("429 8767 2007")</f>
        <v>429 8767 2007</v>
      </c>
      <c r="F483" t="str">
        <f>("2007")</f>
        <v>2007</v>
      </c>
      <c r="G483" t="str">
        <f>("大林慈院藏書區")</f>
        <v>大林慈院藏書區</v>
      </c>
      <c r="H483" t="str">
        <f>("學習資源組")</f>
        <v>學習資源組</v>
      </c>
    </row>
    <row r="484" spans="1:8">
      <c r="A484" t="str">
        <f>("D0016199")</f>
        <v>D0016199</v>
      </c>
      <c r="B484" t="str">
        <f>("藥師心內話 :廣告藥品、網路保健食品、兒童用藥......資深藥師教你秒懂50個不得了的醫藥真相 /")</f>
        <v>藥師心內話 :廣告藥品、網路保健食品、兒童用藥......資深藥師教你秒懂50個不得了的醫藥真相 /</v>
      </c>
      <c r="C484" t="str">
        <f>("Drugs,author ")</f>
        <v xml:space="preserve">Drugs,author </v>
      </c>
      <c r="D484" t="str">
        <f>("時報文化出版企業股份有限公司,")</f>
        <v>時報文化出版企業股份有限公司,</v>
      </c>
      <c r="E484" t="str">
        <f>("429 8872 2018")</f>
        <v>429 8872 2018</v>
      </c>
      <c r="F484" t="str">
        <f>("2018")</f>
        <v>2018</v>
      </c>
      <c r="G484" t="str">
        <f>("大林慈院藏書區")</f>
        <v>大林慈院藏書區</v>
      </c>
      <c r="H484" t="str">
        <f>("腫瘤中心")</f>
        <v>腫瘤中心</v>
      </c>
    </row>
    <row r="485" spans="1:8">
      <c r="A485" t="str">
        <f>("D0001233")</f>
        <v>D0001233</v>
      </c>
      <c r="B485" t="str">
        <f>("致命的醫學常識 :以及真正讓你更健康的99個祕訣 /")</f>
        <v>致命的醫學常識 :以及真正讓你更健康的99個祕訣 /</v>
      </c>
      <c r="C485" t="str">
        <f>("史妮德曼(Snyderman, Nancy L.) ")</f>
        <v xml:space="preserve">史妮德曼(Snyderman, Nancy L.) </v>
      </c>
      <c r="D485" t="str">
        <f>("天下遠見出版,")</f>
        <v>天下遠見出版,</v>
      </c>
      <c r="E485" t="str">
        <f>("429 8875 2008")</f>
        <v>429 8875 2008</v>
      </c>
      <c r="F485" t="str">
        <f>("2008")</f>
        <v>2008</v>
      </c>
      <c r="G485" t="str">
        <f>("大林慈院藏書區")</f>
        <v>大林慈院藏書區</v>
      </c>
    </row>
    <row r="486" spans="1:8">
      <c r="A486" t="str">
        <f>("D0013438")</f>
        <v>D0013438</v>
      </c>
      <c r="B486" t="str">
        <f>("名醫下班後最常被問的270個健康疑難雜症冏問題 /")</f>
        <v>名醫下班後最常被問的270個健康疑難雜症冏問題 /</v>
      </c>
      <c r="C486" t="str">
        <f>("桀森(Jessen, Christian) ")</f>
        <v xml:space="preserve">桀森(Jessen, Christian) </v>
      </c>
      <c r="D486" t="str">
        <f>("漢宇國際文化出版 :;幼福文化總經銷,")</f>
        <v>漢宇國際文化出版 :;幼福文化總經銷,</v>
      </c>
      <c r="E486" t="str">
        <f>("429 897 2012")</f>
        <v>429 897 2012</v>
      </c>
      <c r="F486" t="str">
        <f>("2012")</f>
        <v>2012</v>
      </c>
      <c r="G486" t="str">
        <f>("大林慈院藏書區")</f>
        <v>大林慈院藏書區</v>
      </c>
    </row>
    <row r="487" spans="1:8">
      <c r="A487" t="str">
        <f>("D0016665")</f>
        <v>D0016665</v>
      </c>
      <c r="B487" t="str">
        <f>("家庭醫師臨床手冊 /")</f>
        <v>家庭醫師臨床手冊 /</v>
      </c>
      <c r="C487" t="str">
        <f>("臺灣家庭醫學醫學會.編")</f>
        <v>臺灣家庭醫學醫學會.編</v>
      </c>
      <c r="D487" t="str">
        <f>("臺灣家庭醫學醫學會,")</f>
        <v>臺灣家庭醫學醫學會,</v>
      </c>
      <c r="E487" t="str">
        <f>("429.026 8446 2017")</f>
        <v>429.026 8446 2017</v>
      </c>
      <c r="F487" t="str">
        <f>("2017")</f>
        <v>2017</v>
      </c>
      <c r="G487" t="str">
        <f>("大林慈院藏書區")</f>
        <v>大林慈院藏書區</v>
      </c>
      <c r="H487" t="str">
        <f>("中醫部")</f>
        <v>中醫部</v>
      </c>
    </row>
    <row r="488" spans="1:8">
      <c r="A488" t="str">
        <f>("D0007145")</f>
        <v>D0007145</v>
      </c>
      <c r="B488" t="str">
        <f>("女性的身體與醫學 /")</f>
        <v>女性的身體與醫學 /</v>
      </c>
      <c r="C488" t="str">
        <f>("新野博子 ")</f>
        <v xml:space="preserve">新野博子 </v>
      </c>
      <c r="D488" t="str">
        <f>("國際村出版,")</f>
        <v>國際村出版,</v>
      </c>
      <c r="E488" t="str">
        <f>("429.1 8463 1996")</f>
        <v>429.1 8463 1996</v>
      </c>
      <c r="F488" t="str">
        <f>("1996")</f>
        <v>1996</v>
      </c>
      <c r="G488" t="str">
        <f>("大林慈院藏書區")</f>
        <v>大林慈院藏書區</v>
      </c>
    </row>
    <row r="489" spans="1:8">
      <c r="A489" t="str">
        <f>("D0002934")</f>
        <v>D0002934</v>
      </c>
      <c r="B489" t="str">
        <f>("中國傳統性醫學")</f>
        <v>中國傳統性醫學</v>
      </c>
      <c r="C489" t="str">
        <f>("")</f>
        <v/>
      </c>
      <c r="D489" t="str">
        <f>("啟業書局")</f>
        <v>啟業書局</v>
      </c>
      <c r="E489" t="str">
        <f>("429.1 8467 1992")</f>
        <v>429.1 8467 1992</v>
      </c>
      <c r="F489" t="str">
        <f>("1992")</f>
        <v>1992</v>
      </c>
      <c r="G489" t="str">
        <f>("大林慈院藏書區")</f>
        <v>大林慈院藏書區</v>
      </c>
    </row>
    <row r="490" spans="1:8">
      <c r="A490" t="str">
        <f>("D0004885")</f>
        <v>D0004885</v>
      </c>
      <c r="B490" t="str">
        <f>("About sex /")</f>
        <v>About sex /</v>
      </c>
      <c r="C490" t="str">
        <f>("魯賓(Reuben, David) ")</f>
        <v xml:space="preserve">魯賓(Reuben, David) </v>
      </c>
      <c r="D490" t="str">
        <f>("天下遠見出版,")</f>
        <v>天下遠見出版,</v>
      </c>
      <c r="E490" t="str">
        <f>("429.1 862 2000")</f>
        <v>429.1 862 2000</v>
      </c>
      <c r="F490" t="str">
        <f>("2000")</f>
        <v>2000</v>
      </c>
      <c r="G490" t="str">
        <f>("大林慈院藏書區")</f>
        <v>大林慈院藏書區</v>
      </c>
    </row>
    <row r="491" spans="1:8">
      <c r="A491" t="str">
        <f>("D0000604")</f>
        <v>D0000604</v>
      </c>
      <c r="B491" t="str">
        <f>("愛之訣 :圓滿性生活 /")</f>
        <v>愛之訣 :圓滿性生活 /</v>
      </c>
      <c r="C491" t="str">
        <f>("凌岡泉著 ")</f>
        <v xml:space="preserve">凌岡泉著 </v>
      </c>
      <c r="D491" t="str">
        <f>("健康世界雜誌發行,")</f>
        <v>健康世界雜誌發行,</v>
      </c>
      <c r="E491" t="str">
        <f>("429.1 8669 1993")</f>
        <v>429.1 8669 1993</v>
      </c>
      <c r="F491" t="str">
        <f>("1993")</f>
        <v>1993</v>
      </c>
      <c r="G491" t="str">
        <f>("大林慈院藏書區")</f>
        <v>大林慈院藏書區</v>
      </c>
    </row>
    <row r="492" spans="1:8">
      <c r="A492" t="str">
        <f>("D0016544")</f>
        <v>D0016544</v>
      </c>
      <c r="B492" t="str">
        <f>("婦產科醫生寫給準媽媽 :懷孕.生產一定要知道的大小事 /")</f>
        <v>婦產科醫生寫給準媽媽 :懷孕.生產一定要知道的大小事 /</v>
      </c>
      <c r="C492" t="str">
        <f>("洪泰和")</f>
        <v>洪泰和</v>
      </c>
      <c r="D492" t="str">
        <f>("知遠文化總經銷,;臺灣廣廈出版 :")</f>
        <v>知遠文化總經銷,;臺灣廣廈出版 :</v>
      </c>
      <c r="E492" t="str">
        <f>("429.12 8236 2013")</f>
        <v>429.12 8236 2013</v>
      </c>
      <c r="F492" t="str">
        <f>("2013")</f>
        <v>2013</v>
      </c>
      <c r="G492" t="str">
        <f>("大林慈院藏書區")</f>
        <v>大林慈院藏書區</v>
      </c>
    </row>
    <row r="493" spans="1:8">
      <c r="A493" t="str">
        <f>("D0010443")</f>
        <v>D0010443</v>
      </c>
      <c r="B493" t="str">
        <f>("快樂懷孕10個月 /")</f>
        <v>快樂懷孕10個月 /</v>
      </c>
      <c r="C493" t="str">
        <f>("蕭曉萍 ;高山中夫 ")</f>
        <v xml:space="preserve">蕭曉萍 ;高山中夫 </v>
      </c>
      <c r="D493" t="str">
        <f>("非庸實業出版,")</f>
        <v>非庸實業出版,</v>
      </c>
      <c r="E493" t="str">
        <f>("429.12 8366 1997")</f>
        <v>429.12 8366 1997</v>
      </c>
      <c r="F493" t="str">
        <f>("1997")</f>
        <v>1997</v>
      </c>
      <c r="G493" t="str">
        <f>("大林慈院藏書區")</f>
        <v>大林慈院藏書區</v>
      </c>
    </row>
    <row r="494" spans="1:8">
      <c r="A494" t="str">
        <f>("D0013627")</f>
        <v>D0013627</v>
      </c>
      <c r="B494" t="str">
        <f>("我要當媽媽了 : 安心懷孕,輕鬆生產 / ")</f>
        <v xml:space="preserve">我要當媽媽了 : 安心懷孕,輕鬆生產 / </v>
      </c>
      <c r="C494" t="str">
        <f>("雨森良彥")</f>
        <v>雨森良彥</v>
      </c>
      <c r="D494" t="str">
        <f>("世茂, ")</f>
        <v xml:space="preserve">世茂, </v>
      </c>
      <c r="E494" t="str">
        <f>("429.12 8376 2003")</f>
        <v>429.12 8376 2003</v>
      </c>
      <c r="F494" t="str">
        <f>("2003")</f>
        <v>2003</v>
      </c>
      <c r="G494" t="str">
        <f>("大林慈院藏書區")</f>
        <v>大林慈院藏書區</v>
      </c>
    </row>
    <row r="495" spans="1:8">
      <c r="A495" t="str">
        <f>("D0006510")</f>
        <v>D0006510</v>
      </c>
      <c r="B495" t="str">
        <f>("健康懷孕 280 天 /")</f>
        <v>健康懷孕 280 天 /</v>
      </c>
      <c r="C495" t="str">
        <f>("蔡麗玲 ")</f>
        <v xml:space="preserve">蔡麗玲 </v>
      </c>
      <c r="D495" t="str">
        <f>("培根文化,")</f>
        <v>培根文化,</v>
      </c>
      <c r="E495" t="str">
        <f>("429.12 8453 1993")</f>
        <v>429.12 8453 1993</v>
      </c>
      <c r="F495" t="str">
        <f>("1993")</f>
        <v>1993</v>
      </c>
      <c r="G495" t="str">
        <f>("大林慈院藏書區")</f>
        <v>大林慈院藏書區</v>
      </c>
    </row>
    <row r="496" spans="1:8">
      <c r="A496" t="str">
        <f>("D0009906")</f>
        <v>D0009906</v>
      </c>
      <c r="B496" t="str">
        <f>("健康懷孕 280 天 /")</f>
        <v>健康懷孕 280 天 /</v>
      </c>
      <c r="C496" t="str">
        <f>("蔡麗玲 ")</f>
        <v xml:space="preserve">蔡麗玲 </v>
      </c>
      <c r="D496" t="str">
        <f>("培根文化,")</f>
        <v>培根文化,</v>
      </c>
      <c r="E496" t="str">
        <f>("429.12 8453 1993 c.2")</f>
        <v>429.12 8453 1993 c.2</v>
      </c>
      <c r="F496" t="str">
        <f>("1993")</f>
        <v>1993</v>
      </c>
      <c r="G496" t="str">
        <f>("大林慈院藏書區")</f>
        <v>大林慈院藏書區</v>
      </c>
    </row>
    <row r="497" spans="1:8">
      <c r="A497" t="str">
        <f>("D0010944")</f>
        <v>D0010944</v>
      </c>
      <c r="B497" t="str">
        <f>("健康懷孕 280 天 /")</f>
        <v>健康懷孕 280 天 /</v>
      </c>
      <c r="C497" t="str">
        <f>("蔡麗玲 ")</f>
        <v xml:space="preserve">蔡麗玲 </v>
      </c>
      <c r="D497" t="str">
        <f>("培根文化,")</f>
        <v>培根文化,</v>
      </c>
      <c r="E497" t="str">
        <f>("429.12 8453 1993 c.3")</f>
        <v>429.12 8453 1993 c.3</v>
      </c>
      <c r="F497" t="str">
        <f>("1993")</f>
        <v>1993</v>
      </c>
      <c r="G497" t="str">
        <f>("大林慈院藏書區")</f>
        <v>大林慈院藏書區</v>
      </c>
    </row>
    <row r="498" spans="1:8">
      <c r="A498" t="str">
        <f>("D0005720")</f>
        <v>D0005720</v>
      </c>
      <c r="B498" t="str">
        <f>("孕媽咪安產體重管理 /")</f>
        <v>孕媽咪安產體重管理 /</v>
      </c>
      <c r="C498" t="str">
        <f>("小學館 ")</f>
        <v xml:space="preserve">小學館 </v>
      </c>
      <c r="D498" t="str">
        <f>("婦幼館出版,")</f>
        <v>婦幼館出版,</v>
      </c>
      <c r="E498" t="str">
        <f>("429.12 8466 1999")</f>
        <v>429.12 8466 1999</v>
      </c>
      <c r="F498" t="str">
        <f>("1999")</f>
        <v>1999</v>
      </c>
      <c r="G498" t="str">
        <f>("大林慈院藏書區")</f>
        <v>大林慈院藏書區</v>
      </c>
    </row>
    <row r="499" spans="1:8">
      <c r="A499" t="str">
        <f>("D0005419")</f>
        <v>D0005419</v>
      </c>
      <c r="B499" t="str">
        <f>("懷孕與生產 / ")</f>
        <v xml:space="preserve">懷孕與生產 / </v>
      </c>
      <c r="C499" t="str">
        <f>("國府田清子")</f>
        <v>國府田清子</v>
      </c>
      <c r="D499" t="str">
        <f>("暖流, ")</f>
        <v xml:space="preserve">暖流, </v>
      </c>
      <c r="E499" t="str">
        <f>("429.12 8525 1997")</f>
        <v>429.12 8525 1997</v>
      </c>
      <c r="F499" t="str">
        <f>("1997")</f>
        <v>1997</v>
      </c>
      <c r="G499" t="str">
        <f>("大林慈院藏書區")</f>
        <v>大林慈院藏書區</v>
      </c>
    </row>
    <row r="500" spans="1:8">
      <c r="A500" t="str">
        <f>("D0009905")</f>
        <v>D0009905</v>
      </c>
      <c r="B500" t="str">
        <f>("養胎其實並不難 /")</f>
        <v>養胎其實並不難 /</v>
      </c>
      <c r="C500" t="str">
        <f>("莊壽美撰述 ")</f>
        <v xml:space="preserve">莊壽美撰述 </v>
      </c>
      <c r="D500" t="str">
        <f>("廣河堂出版,")</f>
        <v>廣河堂出版,</v>
      </c>
      <c r="E500" t="str">
        <f>("429.12 8536 2000")</f>
        <v>429.12 8536 2000</v>
      </c>
      <c r="F500" t="str">
        <f>("2000")</f>
        <v>2000</v>
      </c>
      <c r="G500" t="str">
        <f>("大林慈院藏書區")</f>
        <v>大林慈院藏書區</v>
      </c>
    </row>
    <row r="501" spans="1:8">
      <c r="A501" t="str">
        <f>("D0006159")</f>
        <v>D0006159</v>
      </c>
      <c r="B501" t="str">
        <f>("孕期生活指導手冊 /")</f>
        <v>孕期生活指導手冊 /</v>
      </c>
      <c r="C501" t="str">
        <f>("廖倍良著 ")</f>
        <v xml:space="preserve">廖倍良著 </v>
      </c>
      <c r="D501" t="str">
        <f>("婦幼家庭發行,")</f>
        <v>婦幼家庭發行,</v>
      </c>
      <c r="E501" t="str">
        <f>("429.12 8566 1999")</f>
        <v>429.12 8566 1999</v>
      </c>
      <c r="F501" t="str">
        <f>("1999")</f>
        <v>1999</v>
      </c>
      <c r="G501" t="str">
        <f>("大林慈院藏書區")</f>
        <v>大林慈院藏書區</v>
      </c>
    </row>
    <row r="502" spans="1:8">
      <c r="A502" t="str">
        <f>("D0016154")</f>
        <v>D0016154</v>
      </c>
      <c r="B502" t="str">
        <f>("懷孕寶典!媽媽好孕,寶寶才好運 :十個月,決定孩子的一生 /")</f>
        <v>懷孕寶典!媽媽好孕,寶寶才好運 :十個月,決定孩子的一生 /</v>
      </c>
      <c r="C502" t="str">
        <f>("楊濬光(醫學) ")</f>
        <v xml:space="preserve">楊濬光(醫學) </v>
      </c>
      <c r="D502" t="str">
        <f>("所以文化出版 :;紅螞蟻圖書總經銷,")</f>
        <v>所以文化出版 :;紅螞蟻圖書總經銷,</v>
      </c>
      <c r="E502" t="str">
        <f>("429.12 8636 2012")</f>
        <v>429.12 8636 2012</v>
      </c>
      <c r="F502" t="str">
        <f>("2012")</f>
        <v>2012</v>
      </c>
      <c r="G502" t="str">
        <f>("大林慈院藏書區")</f>
        <v>大林慈院藏書區</v>
      </c>
    </row>
    <row r="503" spans="1:8">
      <c r="A503" t="str">
        <f>("D0013463")</f>
        <v>D0013463</v>
      </c>
      <c r="B503" t="str">
        <f>("懷孕生產育兒百科 : 孕育健康聰明的寶寶 / ")</f>
        <v xml:space="preserve">懷孕生產育兒百科 : 孕育健康聰明的寶寶 / </v>
      </c>
      <c r="C503" t="str">
        <f>("金聖淑")</f>
        <v>金聖淑</v>
      </c>
      <c r="D503" t="str">
        <f>("漢宇國際文化出版 : ;幼福文化總經銷, ")</f>
        <v xml:space="preserve">漢宇國際文化出版 : ;幼福文化總經銷, </v>
      </c>
      <c r="E503" t="str">
        <f>("429.12 8646 2005")</f>
        <v>429.12 8646 2005</v>
      </c>
      <c r="F503" t="str">
        <f>("2005")</f>
        <v>2005</v>
      </c>
      <c r="G503" t="str">
        <f>("大林慈院藏書區")</f>
        <v>大林慈院藏書區</v>
      </c>
    </row>
    <row r="504" spans="1:8">
      <c r="A504" t="str">
        <f>("D0009232")</f>
        <v>D0009232</v>
      </c>
      <c r="B504" t="str">
        <f>("胎教10個月的知識 /")</f>
        <v>胎教10個月的知識 /</v>
      </c>
      <c r="C504" t="str">
        <f>("薛宜寧譯 ")</f>
        <v xml:space="preserve">薛宜寧譯 </v>
      </c>
      <c r="D504" t="str">
        <f>("大坤,")</f>
        <v>大坤,</v>
      </c>
      <c r="E504" t="str">
        <f>("429.12 8657 1996")</f>
        <v>429.12 8657 1996</v>
      </c>
      <c r="F504" t="str">
        <f>("1996")</f>
        <v>1996</v>
      </c>
      <c r="G504" t="str">
        <f>("大林慈院藏書區")</f>
        <v>大林慈院藏書區</v>
      </c>
    </row>
    <row r="505" spans="1:8">
      <c r="A505" t="str">
        <f>("D0012552")</f>
        <v>D0012552</v>
      </c>
      <c r="B505" t="str">
        <f>("媽咪&amp;寶貝 :280天懷孕日記 /")</f>
        <v>媽咪&amp;寶貝 :280天懷孕日記 /</v>
      </c>
      <c r="C505" t="str">
        <f>("坎貝爾(Campbell, Stuart, 1936-) ")</f>
        <v xml:space="preserve">坎貝爾(Campbell, Stuart, 1936-) </v>
      </c>
      <c r="D505" t="str">
        <f>("明天國際圖書,")</f>
        <v>明天國際圖書,</v>
      </c>
      <c r="E505" t="str">
        <f>("429.12 8743 2006")</f>
        <v>429.12 8743 2006</v>
      </c>
      <c r="F505" t="str">
        <f>("2006")</f>
        <v>2006</v>
      </c>
      <c r="G505" t="str">
        <f>("大林慈院藏書區")</f>
        <v>大林慈院藏書區</v>
      </c>
    </row>
    <row r="506" spans="1:8">
      <c r="A506" t="str">
        <f>("D0016588")</f>
        <v>D0016588</v>
      </c>
      <c r="B506" t="str">
        <f>("權威醫療團隊寫給妳的懷孕生產書全圖解 :集結中、西名醫傳授孕期40週x生產養護完全指南, 讓孕婦順產、胎兒健康! /")</f>
        <v>權威醫療團隊寫給妳的懷孕生產書全圖解 :集結中、西名醫傳授孕期40週x生產養護完全指南, 讓孕婦順產、胎兒健康! /</v>
      </c>
      <c r="C506" t="str">
        <f>("林坤沂 作")</f>
        <v>林坤沂 作</v>
      </c>
      <c r="D506" t="str">
        <f>("臺灣廣廈,;知遠文化總經銷")</f>
        <v>臺灣廣廈,;知遠文化總經銷</v>
      </c>
      <c r="E506" t="str">
        <f>("429.12 8754 2020")</f>
        <v>429.12 8754 2020</v>
      </c>
      <c r="F506" t="str">
        <f>("2020")</f>
        <v>2020</v>
      </c>
      <c r="G506" t="str">
        <f>("大林慈院藏書區")</f>
        <v>大林慈院藏書區</v>
      </c>
      <c r="H506" t="str">
        <f>("學習資源組")</f>
        <v>學習資源組</v>
      </c>
    </row>
    <row r="507" spans="1:8">
      <c r="A507" t="str">
        <f>("D0006996")</f>
        <v>D0006996</v>
      </c>
      <c r="B507" t="str">
        <f>("爆笑孕婦日記 /")</f>
        <v>爆笑孕婦日記 /</v>
      </c>
      <c r="C507" t="str">
        <f>("")</f>
        <v/>
      </c>
      <c r="D507" t="str">
        <f>("臺灣先智,")</f>
        <v>臺灣先智,</v>
      </c>
      <c r="E507" t="str">
        <f>("429.12 8757 1999")</f>
        <v>429.12 8757 1999</v>
      </c>
      <c r="F507" t="str">
        <f>("1999")</f>
        <v>1999</v>
      </c>
      <c r="G507" t="str">
        <f>("大林慈院藏書區")</f>
        <v>大林慈院藏書區</v>
      </c>
    </row>
    <row r="508" spans="1:8">
      <c r="A508" t="str">
        <f>("D0016532")</f>
        <v>D0016532</v>
      </c>
      <c r="B508" t="str">
        <f>("產科醫師的好孕教室 : 讓媽媽安心，寶寶健康的懷孕計畫書 / ")</f>
        <v xml:space="preserve">產科醫師的好孕教室 : 讓媽媽安心，寶寶健康的懷孕計畫書 / </v>
      </c>
      <c r="C508" t="str">
        <f>("陳勝咸著")</f>
        <v>陳勝咸著</v>
      </c>
      <c r="D508" t="str">
        <f>("時報文化, ")</f>
        <v xml:space="preserve">時報文化, </v>
      </c>
      <c r="E508" t="str">
        <f>("429.12 8783 2019")</f>
        <v>429.12 8783 2019</v>
      </c>
      <c r="F508" t="str">
        <f>("2019")</f>
        <v>2019</v>
      </c>
      <c r="G508" t="str">
        <f>("大林慈院藏書區")</f>
        <v>大林慈院藏書區</v>
      </c>
      <c r="H508" t="str">
        <f>("學習資源組")</f>
        <v>學習資源組</v>
      </c>
    </row>
    <row r="509" spans="1:8">
      <c r="A509" t="str">
        <f>("D0016082")</f>
        <v>D0016082</v>
      </c>
      <c r="B509" t="str">
        <f>("孕.動.瘦 :紓壓備孕、緩解孕期不適、去除產後臃腫,恢復少女線條的快樂孕動法! /")</f>
        <v>孕.動.瘦 :紓壓備孕、緩解孕期不適、去除產後臃腫,恢復少女線條的快樂孕動法! /</v>
      </c>
      <c r="C509" t="str">
        <f>("張保惠(物理治療) ")</f>
        <v xml:space="preserve">張保惠(物理治療) </v>
      </c>
      <c r="D509" t="str">
        <f>("遠足文化發行,;木馬文化出版 :")</f>
        <v>遠足文化發行,;木馬文化出版 :</v>
      </c>
      <c r="E509" t="str">
        <f>("429.12 8793 2018")</f>
        <v>429.12 8793 2018</v>
      </c>
      <c r="F509" t="str">
        <f>("2018")</f>
        <v>2018</v>
      </c>
      <c r="G509" t="str">
        <f>("大林慈院藏書區")</f>
        <v>大林慈院藏書區</v>
      </c>
      <c r="H509" t="str">
        <f>("學習資源組")</f>
        <v>學習資源組</v>
      </c>
    </row>
    <row r="510" spans="1:8">
      <c r="A510" t="str">
        <f>("D0005478")</f>
        <v>D0005478</v>
      </c>
      <c r="B510" t="str">
        <f>("懷孕知識百科")</f>
        <v>懷孕知識百科</v>
      </c>
      <c r="C510" t="str">
        <f>("")</f>
        <v/>
      </c>
      <c r="D510" t="str">
        <f>("笛藤出版:農學總經銷")</f>
        <v>笛藤出版:農學總經銷</v>
      </c>
      <c r="E510" t="str">
        <f>("429.12 8837 1995")</f>
        <v>429.12 8837 1995</v>
      </c>
      <c r="F510" t="str">
        <f>("1995")</f>
        <v>1995</v>
      </c>
      <c r="G510" t="str">
        <f>("大林慈院藏書區")</f>
        <v>大林慈院藏書區</v>
      </c>
    </row>
    <row r="511" spans="1:8">
      <c r="A511" t="str">
        <f>("D0016560")</f>
        <v>D0016560</v>
      </c>
      <c r="B511" t="str">
        <f>("護理師CC的孕養大小事 ：媽咪神隊友!懷孕到寶寶2歲的照護全書  /")</f>
        <v>護理師CC的孕養大小事 ：媽咪神隊友!懷孕到寶寶2歲的照護全書  /</v>
      </c>
      <c r="C511" t="str">
        <f>("吳予曦著")</f>
        <v>吳予曦著</v>
      </c>
      <c r="D511" t="str">
        <f>("三采文化 ,")</f>
        <v>三采文化 ,</v>
      </c>
      <c r="E511" t="str">
        <f>("429.12 8854 2020")</f>
        <v>429.12 8854 2020</v>
      </c>
      <c r="F511" t="str">
        <f>("2020")</f>
        <v>2020</v>
      </c>
      <c r="G511" t="str">
        <f>("大林慈院藏書區")</f>
        <v>大林慈院藏書區</v>
      </c>
      <c r="H511" t="str">
        <f>("學習資源組")</f>
        <v>學習資源組</v>
      </c>
    </row>
    <row r="512" spans="1:8">
      <c r="A512" t="str">
        <f>("D0006158")</f>
        <v>D0006158</v>
      </c>
      <c r="B512" t="str">
        <f>("50個最想知道的懷孕問題 /")</f>
        <v>50個最想知道的懷孕問題 /</v>
      </c>
      <c r="C512" t="str">
        <f>("嬰兒與母親雜誌社編輯部 ")</f>
        <v xml:space="preserve">嬰兒與母親雜誌社編輯部 </v>
      </c>
      <c r="D512" t="str">
        <f>("婦幼家庭發行,")</f>
        <v>婦幼家庭發行,</v>
      </c>
      <c r="E512" t="str">
        <f>("429.12022 8574 1999")</f>
        <v>429.12022 8574 1999</v>
      </c>
      <c r="F512" t="str">
        <f>("1999")</f>
        <v>1999</v>
      </c>
      <c r="G512" t="str">
        <f>("大林慈院藏書區")</f>
        <v>大林慈院藏書區</v>
      </c>
    </row>
    <row r="513" spans="1:8">
      <c r="A513" t="str">
        <f>("D0016225")</f>
        <v>D0016225</v>
      </c>
      <c r="B513" t="str">
        <f>("新手父母一次上手育兒百科 :產婦．新生兒，居家照護全圖解 :日常基礎照護 x 小兒常見疾病 x 產後常見問題 x 產婦乳腺疏通 x 中醫體質調理, 權威醫師給你最完善解答 /")</f>
        <v>新手父母一次上手育兒百科 :產婦．新生兒，居家照護全圖解 :日常基礎照護 x 小兒常見疾病 x 產後常見問題 x 產婦乳腺疏通 x 中醫體質調理, 權威醫師給你最完善解答 /</v>
      </c>
      <c r="C513" t="str">
        <f>("臺灣母嬰月子醫學會 ")</f>
        <v xml:space="preserve">臺灣母嬰月子醫學會 </v>
      </c>
      <c r="D513" t="str">
        <f>("城邦文化發行,;創意市集出版 :")</f>
        <v>城邦文化發行,;創意市集出版 :</v>
      </c>
      <c r="E513" t="str">
        <f>("429.13 8444 2019")</f>
        <v>429.13 8444 2019</v>
      </c>
      <c r="F513" t="str">
        <f>("2019")</f>
        <v>2019</v>
      </c>
      <c r="G513" t="str">
        <f>("大林慈院單位藏書")</f>
        <v>大林慈院單位藏書</v>
      </c>
      <c r="H513" t="str">
        <f>("產後護理之家")</f>
        <v>產後護理之家</v>
      </c>
    </row>
    <row r="514" spans="1:8">
      <c r="A514" t="str">
        <f>("D0016271")</f>
        <v>D0016271</v>
      </c>
      <c r="B514" t="str">
        <f>("新手父母一次上手育兒百科 :產婦．新生兒，居家照護全圖解 :日常基礎照護 x 小兒常見疾病 x 產後常見問題 x 產婦乳腺疏通 x 中醫體質調理, 權威醫師給你最完善解答 /")</f>
        <v>新手父母一次上手育兒百科 :產婦．新生兒，居家照護全圖解 :日常基礎照護 x 小兒常見疾病 x 產後常見問題 x 產婦乳腺疏通 x 中醫體質調理, 權威醫師給你最完善解答 /</v>
      </c>
      <c r="C514" t="str">
        <f>("臺灣母嬰月子醫學會 ")</f>
        <v xml:space="preserve">臺灣母嬰月子醫學會 </v>
      </c>
      <c r="D514" t="str">
        <f>("城邦文化發行,;創意市集出版 :")</f>
        <v>城邦文化發行,;創意市集出版 :</v>
      </c>
      <c r="E514" t="str">
        <f>("429.13 8444 2019 c.2")</f>
        <v>429.13 8444 2019 c.2</v>
      </c>
      <c r="F514" t="str">
        <f>("2019")</f>
        <v>2019</v>
      </c>
      <c r="G514" t="str">
        <f>("大林慈院藏書區")</f>
        <v>大林慈院藏書區</v>
      </c>
      <c r="H514" t="str">
        <f>("學習資源組")</f>
        <v>學習資源組</v>
      </c>
    </row>
    <row r="515" spans="1:8">
      <c r="A515" t="str">
        <f>("D0016413")</f>
        <v>D0016413</v>
      </c>
      <c r="B515" t="str">
        <f>("百萬個媽媽都說讚影音坐月子書 : 產後200道月子餐&amp;運動塑身操 / ")</f>
        <v xml:space="preserve">百萬個媽媽都說讚影音坐月子書 : 產後200道月子餐&amp;運動塑身操 / </v>
      </c>
      <c r="C515" t="str">
        <f>("孟斐 ")</f>
        <v xml:space="preserve">孟斐 </v>
      </c>
      <c r="D515" t="str">
        <f>("美生活出版 ; ")</f>
        <v xml:space="preserve">美生活出版 ; </v>
      </c>
      <c r="E515" t="str">
        <f>("429.13 849 2016 c.2")</f>
        <v>429.13 849 2016 c.2</v>
      </c>
      <c r="F515" t="str">
        <f>("2016")</f>
        <v>2016</v>
      </c>
      <c r="G515" t="str">
        <f>("大林慈院藏書區")</f>
        <v>大林慈院藏書區</v>
      </c>
      <c r="H515" t="str">
        <f>("腫瘤中心")</f>
        <v>腫瘤中心</v>
      </c>
    </row>
    <row r="516" spans="1:8">
      <c r="A516" t="str">
        <f>("D0016412")</f>
        <v>D0016412</v>
      </c>
      <c r="B516" t="str">
        <f>("坐好月子,過好日子 : 中醫師彭溫雅的女性調理書 / ")</f>
        <v xml:space="preserve">坐好月子,過好日子 : 中醫師彭溫雅的女性調理書 / </v>
      </c>
      <c r="C516" t="str">
        <f>("彭溫雅著")</f>
        <v>彭溫雅著</v>
      </c>
      <c r="D516" t="str">
        <f>("時報文化, ")</f>
        <v xml:space="preserve">時報文化, </v>
      </c>
      <c r="E516" t="str">
        <f>("429.13 8634 2018 c.2")</f>
        <v>429.13 8634 2018 c.2</v>
      </c>
      <c r="F516" t="str">
        <f>("2018")</f>
        <v>2018</v>
      </c>
      <c r="G516" t="str">
        <f>("大林慈院單位藏書")</f>
        <v>大林慈院單位藏書</v>
      </c>
      <c r="H516" t="str">
        <f>("產後護理之家")</f>
        <v>產後護理之家</v>
      </c>
    </row>
    <row r="517" spans="1:8">
      <c r="A517" t="str">
        <f>("D0016056")</f>
        <v>D0016056</v>
      </c>
      <c r="B517" t="str">
        <f>("蔬食療癒月子餐 :陪妳渡過女人一生最重要的階段 /")</f>
        <v>蔬食療癒月子餐 :陪妳渡過女人一生最重要的階段 /</v>
      </c>
      <c r="C517" t="str">
        <f>("林勃攸(家政) ")</f>
        <v xml:space="preserve">林勃攸(家政) </v>
      </c>
      <c r="D517" t="str">
        <f>("瑞昇文化,")</f>
        <v>瑞昇文化,</v>
      </c>
      <c r="E517" t="str">
        <f>("429.13 8769 2018")</f>
        <v>429.13 8769 2018</v>
      </c>
      <c r="F517" t="str">
        <f>("2018")</f>
        <v>2018</v>
      </c>
      <c r="G517" t="str">
        <f>("大林慈院單位藏書")</f>
        <v>大林慈院單位藏書</v>
      </c>
      <c r="H517" t="str">
        <f>("營養治療科 ")</f>
        <v xml:space="preserve">營養治療科 </v>
      </c>
    </row>
    <row r="518" spans="1:8">
      <c r="A518" t="str">
        <f>("D0016414")</f>
        <v>D0016414</v>
      </c>
      <c r="B518" t="str">
        <f>("蔬食療癒月子餐 :陪妳渡過女人一生最重要的階段 /")</f>
        <v>蔬食療癒月子餐 :陪妳渡過女人一生最重要的階段 /</v>
      </c>
      <c r="C518" t="str">
        <f>("林勃攸(家政) ")</f>
        <v xml:space="preserve">林勃攸(家政) </v>
      </c>
      <c r="D518" t="str">
        <f>("瑞昇文化,")</f>
        <v>瑞昇文化,</v>
      </c>
      <c r="E518" t="str">
        <f>("429.13 8769 2018 c.2")</f>
        <v>429.13 8769 2018 c.2</v>
      </c>
      <c r="F518" t="str">
        <f>("2018")</f>
        <v>2018</v>
      </c>
      <c r="G518" t="str">
        <f>("大林慈院藏書區")</f>
        <v>大林慈院藏書區</v>
      </c>
    </row>
    <row r="519" spans="1:8">
      <c r="A519" t="str">
        <f>("D0016058")</f>
        <v>D0016058</v>
      </c>
      <c r="B519" t="str">
        <f>("重拾孕前纖瘦好身材450道月子餐 :專為產後黃金四週量身打造的辣媽食譜 /")</f>
        <v>重拾孕前纖瘦好身材450道月子餐 :專為產後黃金四週量身打造的辣媽食譜 /</v>
      </c>
      <c r="C519" t="str">
        <f>("樂媽咪名廚團隊 ")</f>
        <v xml:space="preserve">樂媽咪名廚團隊 </v>
      </c>
      <c r="D519" t="str">
        <f>("高見文化總經銷,;美生活文創 :")</f>
        <v>高見文化總經銷,;美生活文創 :</v>
      </c>
      <c r="E519" t="str">
        <f>("429.13 8958 2017")</f>
        <v>429.13 8958 2017</v>
      </c>
      <c r="F519" t="str">
        <f>("2017")</f>
        <v>2017</v>
      </c>
      <c r="G519" t="str">
        <f>("大林慈院單位藏書")</f>
        <v>大林慈院單位藏書</v>
      </c>
      <c r="H519" t="str">
        <f>("營養治療科")</f>
        <v>營養治療科</v>
      </c>
    </row>
    <row r="520" spans="1:8">
      <c r="A520" t="str">
        <f>("D0010387")</f>
        <v>D0010387</v>
      </c>
      <c r="B520" t="str">
        <f>("健康小常識 /")</f>
        <v>健康小常識 /</v>
      </c>
      <c r="C520" t="str">
        <f>("財團法人彰化基督教醫院編著 ")</f>
        <v xml:space="preserve">財團法人彰化基督教醫院編著 </v>
      </c>
      <c r="D520" t="str">
        <f>("藝軒出版,")</f>
        <v>藝軒出版,</v>
      </c>
      <c r="E520" t="str">
        <f>("429.22 8574 2006")</f>
        <v>429.22 8574 2006</v>
      </c>
      <c r="F520" t="str">
        <f>("2006")</f>
        <v>2006</v>
      </c>
      <c r="G520" t="str">
        <f>("大林慈院藏書區")</f>
        <v>大林慈院藏書區</v>
      </c>
      <c r="H520" t="str">
        <f>("學習資源組")</f>
        <v>學習資源組</v>
      </c>
    </row>
    <row r="521" spans="1:8">
      <c r="A521" t="str">
        <f>("D0007634")</f>
        <v>D0007634</v>
      </c>
      <c r="B521" t="str">
        <f>("健康達人125 :民眾自我照護手冊 /")</f>
        <v>健康達人125 :民眾自我照護手冊 /</v>
      </c>
      <c r="C521" t="str">
        <f>("行政院衛生署 ")</f>
        <v xml:space="preserve">行政院衛生署 </v>
      </c>
      <c r="D521" t="str">
        <f>("行政院衛生署,")</f>
        <v>行政院衛生署,</v>
      </c>
      <c r="E521" t="str">
        <f>("429.26 8775 2006")</f>
        <v>429.26 8775 2006</v>
      </c>
      <c r="F521" t="str">
        <f>("2006")</f>
        <v>2006</v>
      </c>
      <c r="G521" t="str">
        <f>("大林慈院藏書區")</f>
        <v>大林慈院藏書區</v>
      </c>
    </row>
    <row r="522" spans="1:8">
      <c r="A522" t="str">
        <f>("D0012752")</f>
        <v>D0012752</v>
      </c>
      <c r="B522" t="str">
        <f>("慢性生活習慣病 /")</f>
        <v>慢性生活習慣病 /</v>
      </c>
      <c r="C522" t="str">
        <f>("陳柏臣著 ")</f>
        <v xml:space="preserve">陳柏臣著 </v>
      </c>
      <c r="D522" t="str">
        <f>("捷徑文化,")</f>
        <v>捷徑文化,</v>
      </c>
      <c r="E522" t="str">
        <f>("429.3 8745 2011")</f>
        <v>429.3 8745 2011</v>
      </c>
      <c r="F522" t="str">
        <f>("2011")</f>
        <v>2011</v>
      </c>
      <c r="G522" t="str">
        <f>("大林慈院藏書區")</f>
        <v>大林慈院藏書區</v>
      </c>
      <c r="H522" t="str">
        <f>("學習資源組")</f>
        <v>學習資源組</v>
      </c>
    </row>
    <row r="523" spans="1:8">
      <c r="A523" t="str">
        <f>("D0003133")</f>
        <v>D0003133</v>
      </c>
      <c r="B523" t="str">
        <f>("現代急救手冊")</f>
        <v>現代急救手冊</v>
      </c>
      <c r="C523" t="str">
        <f>("")</f>
        <v/>
      </c>
      <c r="D523" t="str">
        <f>("聯經")</f>
        <v>聯經</v>
      </c>
      <c r="E523" t="str">
        <f>("429.4 8454 1985")</f>
        <v>429.4 8454 1985</v>
      </c>
      <c r="F523" t="str">
        <f>("1985")</f>
        <v>1985</v>
      </c>
      <c r="G523" t="str">
        <f>("大林慈院藏書區")</f>
        <v>大林慈院藏書區</v>
      </c>
    </row>
    <row r="524" spans="1:8">
      <c r="A524" t="str">
        <f>("D0001430")</f>
        <v>D0001430</v>
      </c>
      <c r="B524" t="str">
        <f>("社會福利與行政 /")</f>
        <v>社會福利與行政 /</v>
      </c>
      <c r="C524" t="str">
        <f>("江亮演 ")</f>
        <v xml:space="preserve">江亮演 </v>
      </c>
      <c r="D524" t="str">
        <f>("空大,")</f>
        <v>空大,</v>
      </c>
      <c r="E524" t="str">
        <f>("547.1 8342 1996")</f>
        <v>547.1 8342 1996</v>
      </c>
      <c r="F524" t="str">
        <f>("1996")</f>
        <v>1996</v>
      </c>
      <c r="G524" t="str">
        <f>("大林慈院藏書區")</f>
        <v>大林慈院藏書區</v>
      </c>
    </row>
    <row r="525" spans="1:8">
      <c r="A525" t="str">
        <f>("D0003587")</f>
        <v>D0003587</v>
      </c>
      <c r="B525" t="str">
        <f>("社會福利與行政 /")</f>
        <v>社會福利與行政 /</v>
      </c>
      <c r="C525" t="str">
        <f>("江亮演 ")</f>
        <v xml:space="preserve">江亮演 </v>
      </c>
      <c r="D525" t="str">
        <f>("空大,")</f>
        <v>空大,</v>
      </c>
      <c r="E525" t="str">
        <f>("547.1 8342 1999")</f>
        <v>547.1 8342 1999</v>
      </c>
      <c r="F525" t="str">
        <f>("1999")</f>
        <v>1999</v>
      </c>
      <c r="G525" t="str">
        <f>("大林慈院藏書區")</f>
        <v>大林慈院藏書區</v>
      </c>
    </row>
    <row r="526" spans="1:8">
      <c r="A526" t="str">
        <f>("D0001316")</f>
        <v>D0001316</v>
      </c>
      <c r="B526" t="str">
        <f>("個案管理")</f>
        <v>個案管理</v>
      </c>
      <c r="C526" t="str">
        <f>("")</f>
        <v/>
      </c>
      <c r="D526" t="str">
        <f>("中華民國社會工作專業人員協會")</f>
        <v>中華民國社會工作專業人員協會</v>
      </c>
      <c r="E526" t="str">
        <f>("547.2 6675 1990")</f>
        <v>547.2 6675 1990</v>
      </c>
      <c r="F526" t="str">
        <f>("1990")</f>
        <v>1990</v>
      </c>
      <c r="G526" t="str">
        <f>("大林慈院藏書區")</f>
        <v>大林慈院藏書區</v>
      </c>
    </row>
    <row r="527" spans="1:8">
      <c r="A527" t="str">
        <f>("D0001937")</f>
        <v>D0001937</v>
      </c>
      <c r="B527" t="str">
        <f>("如何與非自願個案工作 /")</f>
        <v>如何與非自願個案工作 /</v>
      </c>
      <c r="C527" t="str">
        <f>("察特(Trotter, Chris) ")</f>
        <v xml:space="preserve">察特(Trotter, Chris) </v>
      </c>
      <c r="D527" t="str">
        <f>("張老師,")</f>
        <v>張老師,</v>
      </c>
      <c r="E527" t="str">
        <f>("547.2 8938 2008")</f>
        <v>547.2 8938 2008</v>
      </c>
      <c r="F527" t="str">
        <f>("2008")</f>
        <v>2008</v>
      </c>
      <c r="G527" t="str">
        <f>("大林慈院藏書區")</f>
        <v>大林慈院藏書區</v>
      </c>
      <c r="H527" t="str">
        <f>("學習資源組")</f>
        <v>學習資源組</v>
      </c>
    </row>
    <row r="528" spans="1:8">
      <c r="A528" t="str">
        <f>("D0002946")</f>
        <v>D0002946</v>
      </c>
      <c r="B528" t="str">
        <f>("由演劇到領悟 :心由演劇方法之實際應用 /")</f>
        <v>由演劇到領悟 :心由演劇方法之實際應用 /</v>
      </c>
      <c r="C528" t="str">
        <f>("陳珠璋編著")</f>
        <v>陳珠璋編著</v>
      </c>
      <c r="D528" t="str">
        <f>("張老師,")</f>
        <v>張老師,</v>
      </c>
      <c r="E528" t="str">
        <f>("547.208 8747 1992")</f>
        <v>547.208 8747 1992</v>
      </c>
      <c r="F528" t="str">
        <f>("1992")</f>
        <v>1992</v>
      </c>
      <c r="G528" t="str">
        <f>("大林慈院藏書區")</f>
        <v>大林慈院藏書區</v>
      </c>
    </row>
    <row r="529" spans="1:7">
      <c r="A529" t="str">
        <f>("D0006777")</f>
        <v>D0006777</v>
      </c>
      <c r="B529" t="str">
        <f>("老人團體工作實務")</f>
        <v>老人團體工作實務</v>
      </c>
      <c r="C529" t="str">
        <f>("")</f>
        <v/>
      </c>
      <c r="D529" t="str">
        <f>("學富文化")</f>
        <v>學富文化</v>
      </c>
      <c r="E529" t="str">
        <f>("547.3 8566 2003")</f>
        <v>547.3 8566 2003</v>
      </c>
      <c r="F529" t="str">
        <f>("2003")</f>
        <v>2003</v>
      </c>
      <c r="G529" t="str">
        <f>("大林慈院藏書區")</f>
        <v>大林慈院藏書區</v>
      </c>
    </row>
    <row r="530" spans="1:7">
      <c r="A530" t="str">
        <f>("D0006763")</f>
        <v>D0006763</v>
      </c>
      <c r="B530" t="str">
        <f>("團體工作 :理論與技術 /")</f>
        <v>團體工作 :理論與技術 /</v>
      </c>
      <c r="C530" t="str">
        <f>("林萬億 ")</f>
        <v xml:space="preserve">林萬億 </v>
      </c>
      <c r="D530" t="str">
        <f>("五南,")</f>
        <v>五南,</v>
      </c>
      <c r="E530" t="str">
        <f>("547.3 8745 2004")</f>
        <v>547.3 8745 2004</v>
      </c>
      <c r="F530" t="str">
        <f>("2004")</f>
        <v>2004</v>
      </c>
      <c r="G530" t="str">
        <f>("大林慈院藏書區")</f>
        <v>大林慈院藏書區</v>
      </c>
    </row>
    <row r="531" spans="1:7">
      <c r="A531" t="str">
        <f>("D0004842")</f>
        <v>D0004842</v>
      </c>
      <c r="B531" t="str">
        <f>("調兵遣將話社區 :社區共識的形成 /")</f>
        <v>調兵遣將話社區 :社區共識的形成 /</v>
      </c>
      <c r="C531" t="str">
        <f>("劉潔心 ")</f>
        <v xml:space="preserve">劉潔心 </v>
      </c>
      <c r="D531" t="str">
        <f>("光寶文教,")</f>
        <v>光寶文教,</v>
      </c>
      <c r="E531" t="str">
        <f>("547.4 8722 1999")</f>
        <v>547.4 8722 1999</v>
      </c>
      <c r="F531" t="str">
        <f>("1999")</f>
        <v>1999</v>
      </c>
      <c r="G531" t="str">
        <f>("大林慈院藏書區")</f>
        <v>大林慈院藏書區</v>
      </c>
    </row>
    <row r="532" spans="1:7">
      <c r="A532" t="str">
        <f>("D0004445")</f>
        <v>D0004445</v>
      </c>
      <c r="B532" t="str">
        <f>("社區小百科 /")</f>
        <v>社區小百科 /</v>
      </c>
      <c r="C532" t="str">
        <f>("林振春 ")</f>
        <v xml:space="preserve">林振春 </v>
      </c>
      <c r="D532" t="str">
        <f>("光寶文教,")</f>
        <v>光寶文教,</v>
      </c>
      <c r="E532" t="str">
        <f>("547.4 8774 1998 v.1")</f>
        <v>547.4 8774 1998 v.1</v>
      </c>
      <c r="F532" t="str">
        <f>("1998")</f>
        <v>1998</v>
      </c>
      <c r="G532" t="str">
        <f>("大林慈院藏書區")</f>
        <v>大林慈院藏書區</v>
      </c>
    </row>
    <row r="533" spans="1:7">
      <c r="A533" t="str">
        <f>("D0004449")</f>
        <v>D0004449</v>
      </c>
      <c r="B533" t="str">
        <f>("北投生活家園 /")</f>
        <v>北投生活家園 /</v>
      </c>
      <c r="C533" t="str">
        <f>("洪德仁 ")</f>
        <v xml:space="preserve">洪德仁 </v>
      </c>
      <c r="D533" t="str">
        <f>("光寶文教基金會,")</f>
        <v>光寶文教基金會,</v>
      </c>
      <c r="E533" t="str">
        <f>("547.4 8774 1998 v.10")</f>
        <v>547.4 8774 1998 v.10</v>
      </c>
      <c r="F533" t="str">
        <f>("1998")</f>
        <v>1998</v>
      </c>
      <c r="G533" t="str">
        <f>("大林慈院藏書區")</f>
        <v>大林慈院藏書區</v>
      </c>
    </row>
    <row r="534" spans="1:7">
      <c r="A534" t="str">
        <f>("D0004446")</f>
        <v>D0004446</v>
      </c>
      <c r="B534" t="str">
        <f>("生命中的另一種滋養 /")</f>
        <v>生命中的另一種滋養 /</v>
      </c>
      <c r="C534" t="str">
        <f>("張豫偉 ")</f>
        <v xml:space="preserve">張豫偉 </v>
      </c>
      <c r="D534" t="str">
        <f>("光寶文教基金會,")</f>
        <v>光寶文教基金會,</v>
      </c>
      <c r="E534" t="str">
        <f>("547.4 8774 1998 v.6")</f>
        <v>547.4 8774 1998 v.6</v>
      </c>
      <c r="F534" t="str">
        <f>("1998")</f>
        <v>1998</v>
      </c>
      <c r="G534" t="str">
        <f>("大林慈院藏書區")</f>
        <v>大林慈院藏書區</v>
      </c>
    </row>
    <row r="535" spans="1:7">
      <c r="A535" t="str">
        <f>("D0004447")</f>
        <v>D0004447</v>
      </c>
      <c r="B535" t="str">
        <f>("營造新家園 /")</f>
        <v>營造新家園 /</v>
      </c>
      <c r="C535" t="str">
        <f>("林振春 ")</f>
        <v xml:space="preserve">林振春 </v>
      </c>
      <c r="D535" t="str">
        <f>("光寶文教基金會,")</f>
        <v>光寶文教基金會,</v>
      </c>
      <c r="E535" t="str">
        <f>("547.4 8774 1998 v.7")</f>
        <v>547.4 8774 1998 v.7</v>
      </c>
      <c r="F535" t="str">
        <f>("1998")</f>
        <v>1998</v>
      </c>
      <c r="G535" t="str">
        <f>("大林慈院藏書區")</f>
        <v>大林慈院藏書區</v>
      </c>
    </row>
    <row r="536" spans="1:7">
      <c r="A536" t="str">
        <f>("D0004448")</f>
        <v>D0004448</v>
      </c>
      <c r="B536" t="str">
        <f>("共同來疊厝 /")</f>
        <v>共同來疊厝 /</v>
      </c>
      <c r="C536" t="str">
        <f>("張豫偉總編輯 ")</f>
        <v xml:space="preserve">張豫偉總編輯 </v>
      </c>
      <c r="D536" t="str">
        <f>("光寶文教,")</f>
        <v>光寶文教,</v>
      </c>
      <c r="E536" t="str">
        <f>("547.4 8774 1998 v.8")</f>
        <v>547.4 8774 1998 v.8</v>
      </c>
      <c r="F536" t="str">
        <f>("1998")</f>
        <v>1998</v>
      </c>
      <c r="G536" t="str">
        <f>("大林慈院藏書區")</f>
        <v>大林慈院藏書區</v>
      </c>
    </row>
    <row r="537" spans="1:7">
      <c r="A537" t="str">
        <f>("D0002790")</f>
        <v>D0002790</v>
      </c>
      <c r="B537" t="str">
        <f>("英美日社會福利政策與措施")</f>
        <v>英美日社會福利政策與措施</v>
      </c>
      <c r="C537" t="str">
        <f>("")</f>
        <v/>
      </c>
      <c r="D537" t="str">
        <f>("中華民國社區發展研究訓練中心")</f>
        <v>中華民國社區發展研究訓練中心</v>
      </c>
      <c r="E537" t="str">
        <f>("547.5 425 1990")</f>
        <v>547.5 425 1990</v>
      </c>
      <c r="F537" t="str">
        <f>("1990")</f>
        <v>1990</v>
      </c>
      <c r="G537" t="str">
        <f>("大林慈院藏書區")</f>
        <v>大林慈院藏書區</v>
      </c>
    </row>
    <row r="538" spans="1:7">
      <c r="A538" t="str">
        <f>("D0005472")</f>
        <v>D0005472</v>
      </c>
      <c r="B538" t="str">
        <f>("心蓮萬蕊 : 慈濟影像三十年 / ")</f>
        <v xml:space="preserve">心蓮萬蕊 : 慈濟影像三十年 / </v>
      </c>
      <c r="C538" t="str">
        <f>("許耀雲編撰")</f>
        <v>許耀雲編撰</v>
      </c>
      <c r="D538" t="str">
        <f>("慈濟基金會, ")</f>
        <v xml:space="preserve">慈濟基金會, </v>
      </c>
      <c r="E538" t="str">
        <f>("548.1 8244 1997")</f>
        <v>548.1 8244 1997</v>
      </c>
      <c r="F538" t="str">
        <f>("1997")</f>
        <v>1997</v>
      </c>
      <c r="G538" t="str">
        <f>("大林慈院慈濟專區")</f>
        <v>大林慈院慈濟專區</v>
      </c>
    </row>
    <row r="539" spans="1:7">
      <c r="A539" t="str">
        <f>("D0016435")</f>
        <v>D0016435</v>
      </c>
      <c r="B539" t="str">
        <f>("新加坡慈濟史 / ")</f>
        <v xml:space="preserve">新加坡慈濟史 / </v>
      </c>
      <c r="C539" t="str">
        <f>("洪靜原")</f>
        <v>洪靜原</v>
      </c>
      <c r="D539" t="str">
        <f>("經典雜誌, ;慈濟傳播人文志業基金會")</f>
        <v>經典雜誌, ;慈濟傳播人文志業基金會</v>
      </c>
      <c r="E539" t="str">
        <f>("548.126 8253 2020")</f>
        <v>548.126 8253 2020</v>
      </c>
      <c r="F539" t="str">
        <f>("2020")</f>
        <v>2020</v>
      </c>
      <c r="G539" t="str">
        <f>("大林慈院慈濟專區")</f>
        <v>大林慈院慈濟專區</v>
      </c>
    </row>
    <row r="540" spans="1:7">
      <c r="A540" t="str">
        <f>("D0016290")</f>
        <v>D0016290</v>
      </c>
      <c r="B540" t="str">
        <f>("行願半世紀 : 證嚴法師與慈濟 / ")</f>
        <v xml:space="preserve">行願半世紀 : 證嚴法師與慈濟 / </v>
      </c>
      <c r="C540" t="str">
        <f>("潘編著")</f>
        <v>潘編著</v>
      </c>
      <c r="D540" t="str">
        <f>("遠見天下文化, ")</f>
        <v xml:space="preserve">遠見天下文化, </v>
      </c>
      <c r="E540" t="str">
        <f>("548.126 833 2016")</f>
        <v>548.126 833 2016</v>
      </c>
      <c r="F540" t="str">
        <f>("2016")</f>
        <v>2016</v>
      </c>
      <c r="G540" t="str">
        <f>("大林慈院慈濟專區")</f>
        <v>大林慈院慈濟專區</v>
      </c>
    </row>
    <row r="541" spans="1:7">
      <c r="A541" t="str">
        <f>("D0016610")</f>
        <v>D0016610</v>
      </c>
      <c r="B541" t="str">
        <f>("醫往情深 / ")</f>
        <v xml:space="preserve">醫往情深 / </v>
      </c>
      <c r="C541" t="str">
        <f>("高玉美作")</f>
        <v>高玉美作</v>
      </c>
      <c r="D541" t="str">
        <f>("慈濟中文期刊部, ")</f>
        <v xml:space="preserve">慈濟中文期刊部, </v>
      </c>
      <c r="E541" t="str">
        <f>("548.126 8336 2017")</f>
        <v>548.126 8336 2017</v>
      </c>
      <c r="F541" t="str">
        <f>("2017")</f>
        <v>2017</v>
      </c>
      <c r="G541" t="str">
        <f>("大林慈院慈濟專區")</f>
        <v>大林慈院慈濟專區</v>
      </c>
    </row>
    <row r="542" spans="1:7">
      <c r="A542" t="str">
        <f>("D0011664")</f>
        <v>D0011664</v>
      </c>
      <c r="B542" t="str">
        <f>("曙光初現 : 雅加達慈濟紅溪河與慈濟大愛村研究 / ")</f>
        <v xml:space="preserve">曙光初現 : 雅加達慈濟紅溪河與慈濟大愛村研究 / </v>
      </c>
      <c r="C542" t="str">
        <f>("許木柱")</f>
        <v>許木柱</v>
      </c>
      <c r="D542" t="str">
        <f>("慈濟大學, ")</f>
        <v xml:space="preserve">慈濟大學, </v>
      </c>
      <c r="E542" t="str">
        <f>("548.126 8474 2012")</f>
        <v>548.126 8474 2012</v>
      </c>
      <c r="F542" t="str">
        <f>("2012")</f>
        <v>2012</v>
      </c>
      <c r="G542" t="str">
        <f>("大林慈院慈濟專區")</f>
        <v>大林慈院慈濟專區</v>
      </c>
    </row>
    <row r="543" spans="1:7">
      <c r="A543" t="str">
        <f>("D0016891")</f>
        <v>D0016891</v>
      </c>
      <c r="B543" t="str">
        <f>("人間.診間: 簡守信院長行醫ing /")</f>
        <v>人間.診間: 簡守信院長行醫ing /</v>
      </c>
      <c r="C543" t="str">
        <f>("簡守信 主述")</f>
        <v>簡守信 主述</v>
      </c>
      <c r="D543" t="str">
        <f>("經典雜誌, 慈濟傳播人文志業基金會, ")</f>
        <v xml:space="preserve">經典雜誌, 慈濟傳播人文志業基金會, </v>
      </c>
      <c r="E543" t="str">
        <f>("548.126 8626 2021")</f>
        <v>548.126 8626 2021</v>
      </c>
      <c r="F543" t="str">
        <f>("2021")</f>
        <v>2021</v>
      </c>
      <c r="G543" t="str">
        <f>("大林慈院藏書區")</f>
        <v>大林慈院藏書區</v>
      </c>
    </row>
    <row r="544" spans="1:7">
      <c r="A544" t="str">
        <f>("D0016167")</f>
        <v>D0016167</v>
      </c>
      <c r="B544" t="str">
        <f>("翻轉人生 / ")</f>
        <v xml:space="preserve">翻轉人生 / </v>
      </c>
      <c r="C544" t="str">
        <f>("稅素芃著")</f>
        <v>稅素芃著</v>
      </c>
      <c r="D544" t="str">
        <f>("遠見天下文化, ")</f>
        <v xml:space="preserve">遠見天下文化, </v>
      </c>
      <c r="E544" t="str">
        <f>("548.126 8734 2016")</f>
        <v>548.126 8734 2016</v>
      </c>
      <c r="F544" t="str">
        <f>("2016")</f>
        <v>2016</v>
      </c>
      <c r="G544" t="str">
        <f>("大林慈院慈濟專區")</f>
        <v>大林慈院慈濟專區</v>
      </c>
    </row>
    <row r="545" spans="1:8">
      <c r="A545" t="str">
        <f>("D0007734")</f>
        <v>D0007734</v>
      </c>
      <c r="B545" t="str">
        <f>("臺灣最美的人 :證嚴法師與慈濟人 /")</f>
        <v>臺灣最美的人 :證嚴法師與慈濟人 /</v>
      </c>
      <c r="C545" t="str">
        <f>("趙賢明 ")</f>
        <v xml:space="preserve">趙賢明 </v>
      </c>
      <c r="D545" t="str">
        <f>("INK印刻出版,")</f>
        <v>INK印刻出版,</v>
      </c>
      <c r="E545" t="str">
        <f>("548.126 8735 2006")</f>
        <v>548.126 8735 2006</v>
      </c>
      <c r="F545" t="str">
        <f>("2006")</f>
        <v>2006</v>
      </c>
      <c r="G545" t="str">
        <f>("大林慈院慈濟專區")</f>
        <v>大林慈院慈濟專區</v>
      </c>
    </row>
    <row r="546" spans="1:8">
      <c r="A546" t="str">
        <f>("D0016618")</f>
        <v>D0016618</v>
      </c>
      <c r="B546" t="str">
        <f>("舊法用心知 : 慈濟人 慈濟事 慈濟情 / ")</f>
        <v xml:space="preserve">舊法用心知 : 慈濟人 慈濟事 慈濟情 / </v>
      </c>
      <c r="C546" t="str">
        <f>("釋德淨編著")</f>
        <v>釋德淨編著</v>
      </c>
      <c r="D546" t="str">
        <f>("慈濟人文, ")</f>
        <v xml:space="preserve">慈濟人文, </v>
      </c>
      <c r="E546" t="str">
        <f>("548.126 8754 2018")</f>
        <v>548.126 8754 2018</v>
      </c>
      <c r="F546" t="str">
        <f>("2018")</f>
        <v>2018</v>
      </c>
      <c r="G546" t="str">
        <f>("大林慈院慈濟專區")</f>
        <v>大林慈院慈濟專區</v>
      </c>
    </row>
    <row r="547" spans="1:8">
      <c r="A547" t="str">
        <f>("D0014456")</f>
        <v>D0014456</v>
      </c>
      <c r="B547" t="str">
        <f>("烽火邊緣愛的約定 = Love by the war zone / ")</f>
        <v xml:space="preserve">烽火邊緣愛的約定 = Love by the war zone / </v>
      </c>
      <c r="C547" t="str">
        <f>("葉子豪作")</f>
        <v>葉子豪作</v>
      </c>
      <c r="D547" t="str">
        <f>("聯合經銷, ;慈濟傳播人文志業基金會出版 : ")</f>
        <v xml:space="preserve">聯合經銷, ;慈濟傳播人文志業基金會出版 : </v>
      </c>
      <c r="E547" t="str">
        <f>("548.126 8846 2014")</f>
        <v>548.126 8846 2014</v>
      </c>
      <c r="F547" t="str">
        <f>("2014")</f>
        <v>2014</v>
      </c>
      <c r="G547" t="str">
        <f>("大林慈院慈濟專區")</f>
        <v>大林慈院慈濟專區</v>
      </c>
    </row>
    <row r="548" spans="1:8">
      <c r="A548" t="str">
        <f>("D0007218")</f>
        <v>D0007218</v>
      </c>
      <c r="B548" t="str">
        <f>("托育服務 :生態觀點的分析 /")</f>
        <v>托育服務 :生態觀點的分析 /</v>
      </c>
      <c r="C548" t="str">
        <f>("馮燕著 ")</f>
        <v xml:space="preserve">馮燕著 </v>
      </c>
      <c r="D548" t="str">
        <f>("巨流,")</f>
        <v>巨流,</v>
      </c>
      <c r="E548" t="str">
        <f>("548.13 823 1995")</f>
        <v>548.13 823 1995</v>
      </c>
      <c r="F548" t="str">
        <f>("1995")</f>
        <v>1995</v>
      </c>
      <c r="G548" t="str">
        <f>("大林慈院藏書區")</f>
        <v>大林慈院藏書區</v>
      </c>
    </row>
    <row r="549" spans="1:8">
      <c r="A549" t="str">
        <f>("D0007240")</f>
        <v>D0007240</v>
      </c>
      <c r="B549" t="str">
        <f>("兒童虐待:如何發現與輔導『兒童虐待』家庭")</f>
        <v>兒童虐待:如何發現與輔導『兒童虐待』家庭</v>
      </c>
      <c r="C549" t="str">
        <f>("")</f>
        <v/>
      </c>
      <c r="D549" t="str">
        <f>("心理")</f>
        <v>心理</v>
      </c>
      <c r="E549" t="str">
        <f>("548.13 8333 1994")</f>
        <v>548.13 8333 1994</v>
      </c>
      <c r="F549" t="str">
        <f>("1994")</f>
        <v>1994</v>
      </c>
      <c r="G549" t="str">
        <f>("大林慈院藏書區")</f>
        <v>大林慈院藏書區</v>
      </c>
    </row>
    <row r="550" spans="1:8">
      <c r="A550" t="str">
        <f>("D0002041")</f>
        <v>D0002041</v>
      </c>
      <c r="B550" t="str">
        <f>("玻利維亞街童的春天 :一位臺裔哈佛醫學生的美夢成真 /")</f>
        <v>玻利維亞街童的春天 :一位臺裔哈佛醫學生的美夢成真 /</v>
      </c>
      <c r="C550" t="str">
        <f>("黃至成(Huang, Chi-Cheng) ")</f>
        <v xml:space="preserve">黃至成(Huang, Chi-Cheng) </v>
      </c>
      <c r="D550" t="str">
        <f>("望春風文化出版,")</f>
        <v>望春風文化出版,</v>
      </c>
      <c r="E550" t="str">
        <f>("548.13 8343 2007")</f>
        <v>548.13 8343 2007</v>
      </c>
      <c r="F550" t="str">
        <f>("2007")</f>
        <v>2007</v>
      </c>
      <c r="G550" t="str">
        <f>("大林慈院藏書區")</f>
        <v>大林慈院藏書區</v>
      </c>
    </row>
    <row r="551" spans="1:8">
      <c r="A551" t="str">
        <f>("D0002463")</f>
        <v>D0002463</v>
      </c>
      <c r="B551" t="str">
        <f>("兒童少年福利概要 /")</f>
        <v>兒童少年福利概要 /</v>
      </c>
      <c r="C551" t="str">
        <f>("王立杰 ")</f>
        <v xml:space="preserve">王立杰 </v>
      </c>
      <c r="D551" t="str">
        <f>("志光教育文化,")</f>
        <v>志光教育文化,</v>
      </c>
      <c r="E551" t="str">
        <f>("548.13 8433 2002")</f>
        <v>548.13 8433 2002</v>
      </c>
      <c r="F551" t="str">
        <f>("2002")</f>
        <v>2002</v>
      </c>
      <c r="G551" t="str">
        <f>("大林慈院藏書區")</f>
        <v>大林慈院藏書區</v>
      </c>
    </row>
    <row r="552" spans="1:8">
      <c r="A552" t="str">
        <f>("D0001243")</f>
        <v>D0001243</v>
      </c>
      <c r="B552" t="str">
        <f>("石頭的代價 /")</f>
        <v>石頭的代價 /</v>
      </c>
      <c r="C552" t="str">
        <f>("卡古里(Kaguri,Twesigye Jackson )著 ")</f>
        <v xml:space="preserve">卡古里(Kaguri,Twesigye Jackson )著 </v>
      </c>
      <c r="D552" t="str">
        <f>("臉譜, 城邦文化出版,")</f>
        <v>臉譜, 城邦文化出版,</v>
      </c>
      <c r="E552" t="str">
        <f>("548.13 8445 2012")</f>
        <v>548.13 8445 2012</v>
      </c>
      <c r="F552" t="str">
        <f>("2012")</f>
        <v>2012</v>
      </c>
      <c r="G552" t="str">
        <f>("大林慈院藏書區")</f>
        <v>大林慈院藏書區</v>
      </c>
    </row>
    <row r="553" spans="1:8">
      <c r="A553" t="str">
        <f>("D0014706")</f>
        <v>D0014706</v>
      </c>
      <c r="B553" t="str">
        <f>("兒童少年保護社會工作實務手冊 /")</f>
        <v>兒童少年保護社會工作實務手冊 /</v>
      </c>
      <c r="C553" t="str">
        <f>("鄭麗珍")</f>
        <v>鄭麗珍</v>
      </c>
      <c r="D553" t="str">
        <f>("巨流,")</f>
        <v>巨流,</v>
      </c>
      <c r="E553" t="str">
        <f>("548.13 8456 2015")</f>
        <v>548.13 8456 2015</v>
      </c>
      <c r="F553" t="str">
        <f>("2015")</f>
        <v>2015</v>
      </c>
      <c r="G553" t="str">
        <f>("大林慈院藏書區")</f>
        <v>大林慈院藏書區</v>
      </c>
      <c r="H553" t="str">
        <f>("社工組 ")</f>
        <v xml:space="preserve">社工組 </v>
      </c>
    </row>
    <row r="554" spans="1:8">
      <c r="A554" t="str">
        <f>("D0006984")</f>
        <v>D0006984</v>
      </c>
      <c r="B554" t="str">
        <f>("希望在四季 =Hope in four seasons /")</f>
        <v>希望在四季 =Hope in four seasons /</v>
      </c>
      <c r="C554" t="str">
        <f>("吳方芳著 ")</f>
        <v xml:space="preserve">吳方芳著 </v>
      </c>
      <c r="D554" t="str">
        <f>("平安文化,")</f>
        <v>平安文化,</v>
      </c>
      <c r="E554" t="str">
        <f>("548.13 8857 1997")</f>
        <v>548.13 8857 1997</v>
      </c>
      <c r="F554" t="str">
        <f>("1997")</f>
        <v>1997</v>
      </c>
      <c r="G554" t="str">
        <f>("大林慈院藏書區")</f>
        <v>大林慈院藏書區</v>
      </c>
    </row>
    <row r="555" spans="1:8">
      <c r="A555" t="str">
        <f>("D0006590")</f>
        <v>D0006590</v>
      </c>
      <c r="B555" t="str">
        <f>("選擇生命被看見 :拍紀錄片的護士 /")</f>
        <v>選擇生命被看見 :拍紀錄片的護士 /</v>
      </c>
      <c r="C555" t="str">
        <f>("顧景怡著 ")</f>
        <v xml:space="preserve">顧景怡著 </v>
      </c>
      <c r="D555" t="str">
        <f>("天下雜誌出版,")</f>
        <v>天下雜誌出版,</v>
      </c>
      <c r="E555" t="str">
        <f>("548.15 8243 2005")</f>
        <v>548.15 8243 2005</v>
      </c>
      <c r="F555" t="str">
        <f>("2005")</f>
        <v>2005</v>
      </c>
      <c r="G555" t="str">
        <f>("大林慈院醫學人文區")</f>
        <v>大林慈院醫學人文區</v>
      </c>
      <c r="H555" t="str">
        <f>("教學部")</f>
        <v>教學部</v>
      </c>
    </row>
    <row r="556" spans="1:8">
      <c r="A556" t="str">
        <f>("D0011625")</f>
        <v>D0011625</v>
      </c>
      <c r="B556" t="str">
        <f>("老人服務事業經營與管理 /")</f>
        <v>老人服務事業經營與管理 /</v>
      </c>
      <c r="C556" t="str">
        <f>("郭佳玲(心理學) ")</f>
        <v xml:space="preserve">郭佳玲(心理學) </v>
      </c>
      <c r="D556" t="str">
        <f>("心理,")</f>
        <v>心理,</v>
      </c>
      <c r="E556" t="str">
        <f>("548.15 8322 2007")</f>
        <v>548.15 8322 2007</v>
      </c>
      <c r="F556" t="str">
        <f>("2007")</f>
        <v>2007</v>
      </c>
      <c r="G556" t="str">
        <f>("大林慈院藏書區")</f>
        <v>大林慈院藏書區</v>
      </c>
      <c r="H556" t="str">
        <f>("老人醫學科")</f>
        <v>老人醫學科</v>
      </c>
    </row>
    <row r="557" spans="1:8">
      <c r="A557" t="str">
        <f>("D0001757")</f>
        <v>D0001757</v>
      </c>
      <c r="B557" t="str">
        <f>("TAI高齡者照護計劃之制定 =TAI typology of the aged with Illustration居家照護篇 /")</f>
        <v>TAI高齡者照護計劃之制定 =TAI typology of the aged with Illustration居家照護篇 /</v>
      </c>
      <c r="C557" t="str">
        <f>("高橋泰原著 ")</f>
        <v xml:space="preserve">高橋泰原著 </v>
      </c>
      <c r="D557" t="str">
        <f>("中華民國長期照護專業協會,")</f>
        <v>中華民國長期照護專業協會,</v>
      </c>
      <c r="E557" t="str">
        <f>("548.15 8343 2005")</f>
        <v>548.15 8343 2005</v>
      </c>
      <c r="F557" t="str">
        <f>("2005")</f>
        <v>2005</v>
      </c>
      <c r="G557" t="str">
        <f>("大林慈院藏書區")</f>
        <v>大林慈院藏書區</v>
      </c>
      <c r="H557" t="str">
        <f>("護理部")</f>
        <v>護理部</v>
      </c>
    </row>
    <row r="558" spans="1:8">
      <c r="A558" t="str">
        <f>("D0001617")</f>
        <v>D0001617</v>
      </c>
      <c r="B558" t="str">
        <f>("老人福利理論與實務 :本土的觀點 /")</f>
        <v>老人福利理論與實務 :本土的觀點 /</v>
      </c>
      <c r="C558" t="str">
        <f>("陳燕禎(社會學) ")</f>
        <v xml:space="preserve">陳燕禎(社會學) </v>
      </c>
      <c r="D558" t="str">
        <f>("雙葉書廊,")</f>
        <v>雙葉書廊,</v>
      </c>
      <c r="E558" t="str">
        <f>("548.15 8732 2007")</f>
        <v>548.15 8732 2007</v>
      </c>
      <c r="F558" t="str">
        <f>("2007")</f>
        <v>2007</v>
      </c>
      <c r="G558" t="str">
        <f>("大林慈院藏書區")</f>
        <v>大林慈院藏書區</v>
      </c>
      <c r="H558" t="str">
        <f>("老人醫學科")</f>
        <v>老人醫學科</v>
      </c>
    </row>
    <row r="559" spans="1:8">
      <c r="A559" t="str">
        <f>("D0004762")</f>
        <v>D0004762</v>
      </c>
      <c r="B559" t="str">
        <f>("老人照護指引 /")</f>
        <v>老人照護指引 /</v>
      </c>
      <c r="C559" t="str">
        <f>("葉淑惠著 ")</f>
        <v xml:space="preserve">葉淑惠著 </v>
      </c>
      <c r="D559" t="str">
        <f>("偉華,")</f>
        <v>偉華,</v>
      </c>
      <c r="E559" t="str">
        <f>("548.15 8863 2003")</f>
        <v>548.15 8863 2003</v>
      </c>
      <c r="F559" t="str">
        <f>("2003")</f>
        <v>2003</v>
      </c>
      <c r="G559" t="str">
        <f>("大林慈院單位藏書")</f>
        <v>大林慈院單位藏書</v>
      </c>
      <c r="H559" t="str">
        <f>("護理部")</f>
        <v>護理部</v>
      </c>
    </row>
    <row r="560" spans="1:8">
      <c r="A560" t="str">
        <f>("D0009711")</f>
        <v>D0009711</v>
      </c>
      <c r="B560" t="str">
        <f>("老人照護指引 :長期照護醫療健康小組適用 /")</f>
        <v>老人照護指引 :長期照護醫療健康小組適用 /</v>
      </c>
      <c r="C560" t="str">
        <f>("葉淑惠作 ")</f>
        <v xml:space="preserve">葉淑惠作 </v>
      </c>
      <c r="D560" t="str">
        <f>("華都文化,")</f>
        <v>華都文化,</v>
      </c>
      <c r="E560" t="str">
        <f>("548.15 8863 2007")</f>
        <v>548.15 8863 2007</v>
      </c>
      <c r="F560" t="str">
        <f>("2007")</f>
        <v>2007</v>
      </c>
      <c r="G560" t="str">
        <f>("大林慈院藏書區")</f>
        <v>大林慈院藏書區</v>
      </c>
    </row>
    <row r="561" spans="1:8">
      <c r="A561" t="str">
        <f>("D0009712")</f>
        <v>D0009712</v>
      </c>
      <c r="B561" t="str">
        <f>("老人照護指引 :長期照護醫療健康小組適用 /")</f>
        <v>老人照護指引 :長期照護醫療健康小組適用 /</v>
      </c>
      <c r="C561" t="str">
        <f>("葉淑惠作 ")</f>
        <v xml:space="preserve">葉淑惠作 </v>
      </c>
      <c r="D561" t="str">
        <f>("華都文化,")</f>
        <v>華都文化,</v>
      </c>
      <c r="E561" t="str">
        <f>("548.15 8863 2007 c.2")</f>
        <v>548.15 8863 2007 c.2</v>
      </c>
      <c r="F561" t="str">
        <f>("2007")</f>
        <v>2007</v>
      </c>
      <c r="G561" t="str">
        <f>("大林慈院藏書區")</f>
        <v>大林慈院藏書區</v>
      </c>
    </row>
    <row r="562" spans="1:8">
      <c r="A562" t="str">
        <f>("D0009713")</f>
        <v>D0009713</v>
      </c>
      <c r="B562" t="str">
        <f>("老人照護指引 :長期照護醫療健康小組適用 /")</f>
        <v>老人照護指引 :長期照護醫療健康小組適用 /</v>
      </c>
      <c r="C562" t="str">
        <f>("葉淑惠作 ")</f>
        <v xml:space="preserve">葉淑惠作 </v>
      </c>
      <c r="D562" t="str">
        <f>("華都文化,")</f>
        <v>華都文化,</v>
      </c>
      <c r="E562" t="str">
        <f>("548.15 8863 2007 c.3")</f>
        <v>548.15 8863 2007 c.3</v>
      </c>
      <c r="F562" t="str">
        <f>("2007")</f>
        <v>2007</v>
      </c>
      <c r="G562" t="str">
        <f>("大林慈院藏書區")</f>
        <v>大林慈院藏書區</v>
      </c>
    </row>
    <row r="563" spans="1:8">
      <c r="A563" t="str">
        <f>("D0015973")</f>
        <v>D0015973</v>
      </c>
      <c r="B563" t="str">
        <f>("我在底層的生活 : 當專欄作家化身為女服務生 / ")</f>
        <v xml:space="preserve">我在底層的生活 : 當專欄作家化身為女服務生 / </v>
      </c>
      <c r="C563" t="str">
        <f>("艾倫瑞克(Ehrenreich, Barbara)著")</f>
        <v>艾倫瑞克(Ehrenreich, Barbara)著</v>
      </c>
      <c r="D563" t="str">
        <f>("左岸文化出版 : ;遠足文化發行, ")</f>
        <v xml:space="preserve">左岸文化出版 : ;遠足文化發行, </v>
      </c>
      <c r="E563" t="str">
        <f>("548.16 8875 2010")</f>
        <v>548.16 8875 2010</v>
      </c>
      <c r="F563" t="str">
        <f>("2010")</f>
        <v>2010</v>
      </c>
      <c r="G563" t="str">
        <f>("大林慈院藏書區")</f>
        <v>大林慈院藏書區</v>
      </c>
    </row>
    <row r="564" spans="1:8">
      <c r="A564" t="str">
        <f>("D0009811")</f>
        <v>D0009811</v>
      </c>
      <c r="B564" t="str">
        <f>("最終的勝利 :安頓生命的最後歸宿 /")</f>
        <v>最終的勝利 :安頓生命的最後歸宿 /</v>
      </c>
      <c r="C564" t="str">
        <f>("普瑞斯頓(Preston, Thomas A.) ")</f>
        <v xml:space="preserve">普瑞斯頓(Preston, Thomas A.) </v>
      </c>
      <c r="D564" t="str">
        <f>("天下生活出版,")</f>
        <v>天下生活出版,</v>
      </c>
      <c r="E564" t="str">
        <f>("548.2 8355 2001")</f>
        <v>548.2 8355 2001</v>
      </c>
      <c r="F564" t="str">
        <f>("2001")</f>
        <v>2001</v>
      </c>
      <c r="G564" t="str">
        <f>("大林慈院醫學人文區")</f>
        <v>大林慈院醫學人文區</v>
      </c>
    </row>
    <row r="565" spans="1:8">
      <c r="A565" t="str">
        <f>("D0010288")</f>
        <v>D0010288</v>
      </c>
      <c r="B565" t="str">
        <f>("曇花一現,美善永存 :癌末患者的心路旅程 /")</f>
        <v>曇花一現,美善永存 :癌末患者的心路旅程 /</v>
      </c>
      <c r="C565" t="str">
        <f>("趙可式 ")</f>
        <v xml:space="preserve">趙可式 </v>
      </c>
      <c r="D565" t="str">
        <f>("光啟,")</f>
        <v>光啟,</v>
      </c>
      <c r="E565" t="str">
        <f>("548.2 8453 1999")</f>
        <v>548.2 8453 1999</v>
      </c>
      <c r="F565" t="str">
        <f>("1999")</f>
        <v>1999</v>
      </c>
      <c r="G565" t="str">
        <f>("大林慈院醫學人文區")</f>
        <v>大林慈院醫學人文區</v>
      </c>
      <c r="H565" t="str">
        <f>("學習資源組")</f>
        <v>學習資源組</v>
      </c>
    </row>
    <row r="566" spans="1:8">
      <c r="A566" t="str">
        <f>("D0009431")</f>
        <v>D0009431</v>
      </c>
      <c r="B566" t="str">
        <f>("伴你最後一程 : 臨終關懷的愛與慈悲 / ")</f>
        <v xml:space="preserve">伴你最後一程 : 臨終關懷的愛與慈悲 / </v>
      </c>
      <c r="C566" t="str">
        <f>("石世明作 ")</f>
        <v xml:space="preserve">石世明作 </v>
      </c>
      <c r="D566" t="str">
        <f>("天下遠見出版 : ;大和總經銷, ")</f>
        <v xml:space="preserve">天下遠見出版 : ;大和總經銷, </v>
      </c>
      <c r="E566" t="str">
        <f>("548.2 8455 2001")</f>
        <v>548.2 8455 2001</v>
      </c>
      <c r="F566" t="str">
        <f>("2001")</f>
        <v>2001</v>
      </c>
      <c r="G566" t="str">
        <f>("大林慈院醫學人文區")</f>
        <v>大林慈院醫學人文區</v>
      </c>
    </row>
    <row r="567" spans="1:8">
      <c r="A567" t="str">
        <f>("D0005258")</f>
        <v>D0005258</v>
      </c>
      <c r="B567" t="str">
        <f>("髓緣不滅 /")</f>
        <v>髓緣不滅 /</v>
      </c>
      <c r="C567" t="str">
        <f>("慈濟骨髓幹細胞中心資料庫暨行政組 ")</f>
        <v xml:space="preserve">慈濟骨髓幹細胞中心資料庫暨行政組 </v>
      </c>
      <c r="D567" t="str">
        <f>("慈濟文化志業中心,")</f>
        <v>慈濟文化志業中心,</v>
      </c>
      <c r="E567" t="str">
        <f>("548.21 8245 2003")</f>
        <v>548.21 8245 2003</v>
      </c>
      <c r="F567" t="str">
        <f>("2003")</f>
        <v>2003</v>
      </c>
      <c r="G567" t="str">
        <f>("大林慈院慈濟專區")</f>
        <v>大林慈院慈濟專區</v>
      </c>
    </row>
    <row r="568" spans="1:8">
      <c r="A568" t="str">
        <f>("D0000309")</f>
        <v>D0000309</v>
      </c>
      <c r="B568" t="str">
        <f>("兩岸髓緣/")</f>
        <v>兩岸髓緣/</v>
      </c>
      <c r="C568" t="str">
        <f>("王端正")</f>
        <v>王端正</v>
      </c>
      <c r="D568" t="str">
        <f>("慈濟文化志業中心,")</f>
        <v>慈濟文化志業中心,</v>
      </c>
      <c r="E568" t="str">
        <f>("548.21 8444 2000")</f>
        <v>548.21 8444 2000</v>
      </c>
      <c r="F568" t="str">
        <f>("2000")</f>
        <v>2000</v>
      </c>
      <c r="G568" t="str">
        <f>("大林慈院慈濟專區")</f>
        <v>大林慈院慈濟專區</v>
      </c>
    </row>
    <row r="569" spans="1:8">
      <c r="A569" t="str">
        <f>("D0012583")</f>
        <v>D0012583</v>
      </c>
      <c r="B569" t="str">
        <f>("白袍下的熱血 :臺北醫學大學在非洲行醫的故事 /")</f>
        <v>白袍下的熱血 :臺北醫學大學在非洲行醫的故事 /</v>
      </c>
      <c r="C569" t="str">
        <f>("林進修 ")</f>
        <v xml:space="preserve">林進修 </v>
      </c>
      <c r="D569" t="str">
        <f>("天下遠見出版,")</f>
        <v>天下遠見出版,</v>
      </c>
      <c r="E569" t="str">
        <f>("548.21 8798 2011")</f>
        <v>548.21 8798 2011</v>
      </c>
      <c r="F569" t="str">
        <f>("2011")</f>
        <v>2011</v>
      </c>
      <c r="G569" t="str">
        <f>("大林慈院醫學人文區")</f>
        <v>大林慈院醫學人文區</v>
      </c>
      <c r="H569" t="str">
        <f>("學習資源組")</f>
        <v>學習資源組</v>
      </c>
    </row>
    <row r="570" spans="1:8">
      <c r="A570" t="str">
        <f>("D0008558")</f>
        <v>D0008558</v>
      </c>
      <c r="B570" t="str">
        <f>("精神病理社會工作 /")</f>
        <v>精神病理社會工作 /</v>
      </c>
      <c r="C570" t="str">
        <f>("吳來信 ")</f>
        <v xml:space="preserve">吳來信 </v>
      </c>
      <c r="D570" t="str">
        <f>("國立空中大學,")</f>
        <v>國立空中大學,</v>
      </c>
      <c r="E570" t="str">
        <f>("548.29 8876 2005")</f>
        <v>548.29 8876 2005</v>
      </c>
      <c r="F570" t="str">
        <f>("2005")</f>
        <v>2005</v>
      </c>
      <c r="G570" t="str">
        <f>("大林慈院藏書區")</f>
        <v>大林慈院藏書區</v>
      </c>
    </row>
  </sheetData>
  <sortState ref="A2:I570">
    <sortCondition ref="E2:E570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總表</vt:lpstr>
      <vt:lpstr>醫人</vt:lpstr>
      <vt:lpstr>醫倫</vt:lpstr>
      <vt:lpstr>醫法</vt:lpstr>
      <vt:lpstr>品管</vt:lpstr>
      <vt:lpstr>病人教育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</dc:creator>
  <cp:lastModifiedBy>dl</cp:lastModifiedBy>
  <dcterms:created xsi:type="dcterms:W3CDTF">2023-03-01T01:55:46Z</dcterms:created>
  <dcterms:modified xsi:type="dcterms:W3CDTF">2023-10-31T10:36:52Z</dcterms:modified>
</cp:coreProperties>
</file>